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https://i4ce.sharepoint.com/Documents partages/XX - Bibliothèque partagée/Documents budgétaires/"/>
    </mc:Choice>
  </mc:AlternateContent>
  <xr:revisionPtr revIDLastSave="0" documentId="8_{7B62A4BD-D81C-49B4-BB42-225E82713BE4}" xr6:coauthVersionLast="47" xr6:coauthVersionMax="47" xr10:uidLastSave="{00000000-0000-0000-0000-000000000000}"/>
  <bookViews>
    <workbookView xWindow="-120" yWindow="-120" windowWidth="29040" windowHeight="15840" xr2:uid="{ADA68B15-3F69-41DB-BA65-84FE01DB3722}"/>
  </bookViews>
  <sheets>
    <sheet name="Dépenses de l'Etat" sheetId="1" r:id="rId1"/>
  </sheets>
  <definedNames>
    <definedName name="_xlnm._FilterDatabase" localSheetId="0" hidden="1">'Dépenses de l''Etat'!$C$43:$R$43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5" i="1" l="1"/>
  <c r="Q75" i="1" s="1"/>
  <c r="Q101" i="1" s="1"/>
  <c r="Q14" i="1" s="1"/>
  <c r="G255" i="1"/>
  <c r="K78" i="1" s="1"/>
  <c r="G244" i="1"/>
  <c r="G247" i="1" s="1"/>
  <c r="I76" i="1" s="1"/>
  <c r="H243" i="1"/>
  <c r="H212" i="1"/>
  <c r="Q66" i="1" s="1"/>
  <c r="G212" i="1"/>
  <c r="K66" i="1" s="1"/>
  <c r="H206" i="1"/>
  <c r="Q62" i="1" s="1"/>
  <c r="G206" i="1"/>
  <c r="H192" i="1"/>
  <c r="H196" i="1" s="1"/>
  <c r="O61" i="1" s="1"/>
  <c r="Q163" i="1"/>
  <c r="Q37" i="1" s="1"/>
  <c r="P163" i="1"/>
  <c r="O163" i="1"/>
  <c r="O37" i="1" s="1"/>
  <c r="K163" i="1"/>
  <c r="K37" i="1" s="1"/>
  <c r="I163" i="1"/>
  <c r="O158" i="1"/>
  <c r="O33" i="1" s="1"/>
  <c r="I158" i="1"/>
  <c r="I33" i="1" s="1"/>
  <c r="Q152" i="1"/>
  <c r="P152" i="1"/>
  <c r="P29" i="1" s="1"/>
  <c r="N152" i="1"/>
  <c r="N29" i="1" s="1"/>
  <c r="M152" i="1"/>
  <c r="M29" i="1" s="1"/>
  <c r="K152" i="1"/>
  <c r="J152" i="1"/>
  <c r="J29" i="1" s="1"/>
  <c r="H152" i="1"/>
  <c r="H29" i="1" s="1"/>
  <c r="G152" i="1"/>
  <c r="G29" i="1" s="1"/>
  <c r="O150" i="1"/>
  <c r="I150" i="1"/>
  <c r="O149" i="1"/>
  <c r="I149" i="1"/>
  <c r="O148" i="1"/>
  <c r="I148" i="1"/>
  <c r="O147" i="1"/>
  <c r="I147" i="1"/>
  <c r="O146" i="1"/>
  <c r="I146" i="1"/>
  <c r="Q145" i="1"/>
  <c r="P145" i="1"/>
  <c r="N145" i="1"/>
  <c r="M145" i="1"/>
  <c r="K145" i="1"/>
  <c r="J145" i="1"/>
  <c r="H145" i="1"/>
  <c r="G145" i="1"/>
  <c r="P141" i="1"/>
  <c r="P28" i="1" s="1"/>
  <c r="N141" i="1"/>
  <c r="N28" i="1" s="1"/>
  <c r="M141" i="1"/>
  <c r="M28" i="1" s="1"/>
  <c r="J141" i="1"/>
  <c r="J28" i="1" s="1"/>
  <c r="H141" i="1"/>
  <c r="H153" i="1" s="1"/>
  <c r="G141" i="1"/>
  <c r="G28" i="1" s="1"/>
  <c r="O139" i="1"/>
  <c r="I139" i="1"/>
  <c r="O138" i="1"/>
  <c r="I138" i="1"/>
  <c r="O136" i="1"/>
  <c r="I136" i="1"/>
  <c r="O135" i="1"/>
  <c r="I135" i="1"/>
  <c r="O134" i="1"/>
  <c r="I134" i="1"/>
  <c r="O132" i="1"/>
  <c r="O145" i="1" s="1"/>
  <c r="I132" i="1"/>
  <c r="I145" i="1" s="1"/>
  <c r="Q128" i="1"/>
  <c r="Q24" i="1" s="1"/>
  <c r="M128" i="1"/>
  <c r="M24" i="1" s="1"/>
  <c r="K128" i="1"/>
  <c r="K24" i="1" s="1"/>
  <c r="J128" i="1"/>
  <c r="J24" i="1" s="1"/>
  <c r="I128" i="1"/>
  <c r="I24" i="1" s="1"/>
  <c r="H128" i="1"/>
  <c r="H24" i="1" s="1"/>
  <c r="G128" i="1"/>
  <c r="G24" i="1" s="1"/>
  <c r="P126" i="1"/>
  <c r="P128" i="1" s="1"/>
  <c r="P24" i="1" s="1"/>
  <c r="N126" i="1"/>
  <c r="N128" i="1" s="1"/>
  <c r="N24" i="1" s="1"/>
  <c r="O125" i="1"/>
  <c r="O121" i="1"/>
  <c r="O128" i="1" s="1"/>
  <c r="O24" i="1" s="1"/>
  <c r="P114" i="1"/>
  <c r="O114" i="1"/>
  <c r="N114" i="1"/>
  <c r="M114" i="1"/>
  <c r="J114" i="1"/>
  <c r="I114" i="1"/>
  <c r="H114" i="1"/>
  <c r="G114" i="1"/>
  <c r="Q113" i="1"/>
  <c r="P113" i="1"/>
  <c r="O113" i="1"/>
  <c r="N113" i="1"/>
  <c r="M113" i="1"/>
  <c r="K113" i="1"/>
  <c r="J113" i="1"/>
  <c r="I113" i="1"/>
  <c r="H113" i="1"/>
  <c r="G113" i="1"/>
  <c r="Q110" i="1"/>
  <c r="K110" i="1" s="1"/>
  <c r="P102" i="1"/>
  <c r="P15" i="1" s="1"/>
  <c r="M102" i="1"/>
  <c r="M15" i="1" s="1"/>
  <c r="J102" i="1"/>
  <c r="J15" i="1" s="1"/>
  <c r="H102" i="1"/>
  <c r="H15" i="1" s="1"/>
  <c r="G102" i="1"/>
  <c r="G15" i="1" s="1"/>
  <c r="P101" i="1"/>
  <c r="P14" i="1" s="1"/>
  <c r="M101" i="1"/>
  <c r="M14" i="1" s="1"/>
  <c r="J101" i="1"/>
  <c r="J14" i="1" s="1"/>
  <c r="H101" i="1"/>
  <c r="H14" i="1" s="1"/>
  <c r="G101" i="1"/>
  <c r="G14" i="1" s="1"/>
  <c r="Q92" i="1"/>
  <c r="Q87" i="1" s="1"/>
  <c r="P92" i="1"/>
  <c r="J92" i="1" s="1"/>
  <c r="I92" i="1"/>
  <c r="H92" i="1"/>
  <c r="G92" i="1"/>
  <c r="K91" i="1"/>
  <c r="J91" i="1"/>
  <c r="I91" i="1"/>
  <c r="H91" i="1"/>
  <c r="G91" i="1"/>
  <c r="K90" i="1"/>
  <c r="J90" i="1"/>
  <c r="I90" i="1"/>
  <c r="H90" i="1"/>
  <c r="G90" i="1"/>
  <c r="K89" i="1"/>
  <c r="J89" i="1"/>
  <c r="I89" i="1"/>
  <c r="H89" i="1"/>
  <c r="G89" i="1"/>
  <c r="K88" i="1"/>
  <c r="J88" i="1"/>
  <c r="I88" i="1"/>
  <c r="H88" i="1"/>
  <c r="G88" i="1"/>
  <c r="O87" i="1"/>
  <c r="N87" i="1"/>
  <c r="M87" i="1"/>
  <c r="Q85" i="1"/>
  <c r="Q13" i="1" s="1"/>
  <c r="M85" i="1"/>
  <c r="M13" i="1" s="1"/>
  <c r="K85" i="1"/>
  <c r="K13" i="1" s="1"/>
  <c r="Q84" i="1"/>
  <c r="K84" i="1"/>
  <c r="Q83" i="1"/>
  <c r="K83" i="1"/>
  <c r="Q82" i="1"/>
  <c r="K82" i="1"/>
  <c r="K81" i="1"/>
  <c r="Q77" i="1"/>
  <c r="Q102" i="1" s="1"/>
  <c r="Q15" i="1" s="1"/>
  <c r="N77" i="1"/>
  <c r="N102" i="1" s="1"/>
  <c r="N15" i="1" s="1"/>
  <c r="P76" i="1"/>
  <c r="N76" i="1"/>
  <c r="J76" i="1"/>
  <c r="K76" i="1" s="1"/>
  <c r="N75" i="1"/>
  <c r="P68" i="1"/>
  <c r="N68" i="1"/>
  <c r="M68" i="1"/>
  <c r="J68" i="1"/>
  <c r="H68" i="1"/>
  <c r="G68" i="1"/>
  <c r="O66" i="1"/>
  <c r="I66" i="1"/>
  <c r="O65" i="1"/>
  <c r="I65" i="1"/>
  <c r="P57" i="1"/>
  <c r="O57" i="1"/>
  <c r="N57" i="1"/>
  <c r="M57" i="1"/>
  <c r="J57" i="1"/>
  <c r="I57" i="1"/>
  <c r="H57" i="1"/>
  <c r="G57" i="1"/>
  <c r="Q55" i="1"/>
  <c r="K55" i="1"/>
  <c r="Q54" i="1"/>
  <c r="K54" i="1"/>
  <c r="Q53" i="1"/>
  <c r="K53" i="1"/>
  <c r="Q52" i="1"/>
  <c r="K52" i="1"/>
  <c r="Q49" i="1"/>
  <c r="K49" i="1"/>
  <c r="Q46" i="1"/>
  <c r="K46" i="1"/>
  <c r="N37" i="1"/>
  <c r="M37" i="1"/>
  <c r="J37" i="1"/>
  <c r="H37" i="1"/>
  <c r="G37" i="1"/>
  <c r="Q33" i="1"/>
  <c r="P33" i="1"/>
  <c r="N33" i="1"/>
  <c r="M33" i="1"/>
  <c r="K33" i="1"/>
  <c r="J33" i="1"/>
  <c r="H33" i="1"/>
  <c r="G33" i="1"/>
  <c r="Q27" i="1"/>
  <c r="P27" i="1"/>
  <c r="N27" i="1"/>
  <c r="M27" i="1"/>
  <c r="K27" i="1"/>
  <c r="J27" i="1"/>
  <c r="H27" i="1"/>
  <c r="G27" i="1"/>
  <c r="P20" i="1"/>
  <c r="O20" i="1"/>
  <c r="N20" i="1"/>
  <c r="M20" i="1"/>
  <c r="J20" i="1"/>
  <c r="I20" i="1"/>
  <c r="H20" i="1"/>
  <c r="G20" i="1"/>
  <c r="Q19" i="1"/>
  <c r="P19" i="1"/>
  <c r="O19" i="1"/>
  <c r="N19" i="1"/>
  <c r="M19" i="1"/>
  <c r="K19" i="1"/>
  <c r="J19" i="1"/>
  <c r="I19" i="1"/>
  <c r="H19" i="1"/>
  <c r="G19" i="1"/>
  <c r="P13" i="1"/>
  <c r="O13" i="1"/>
  <c r="N13" i="1"/>
  <c r="J13" i="1"/>
  <c r="I13" i="1"/>
  <c r="H13" i="1"/>
  <c r="G13" i="1"/>
  <c r="P9" i="1"/>
  <c r="N9" i="1"/>
  <c r="M9" i="1"/>
  <c r="J9" i="1"/>
  <c r="H9" i="1"/>
  <c r="G9" i="1"/>
  <c r="P8" i="1"/>
  <c r="O8" i="1"/>
  <c r="N8" i="1"/>
  <c r="M8" i="1"/>
  <c r="J8" i="1"/>
  <c r="I8" i="1"/>
  <c r="H8" i="1"/>
  <c r="G8" i="1"/>
  <c r="K77" i="1" l="1"/>
  <c r="K75" i="1"/>
  <c r="K101" i="1" s="1"/>
  <c r="K14" i="1" s="1"/>
  <c r="I37" i="1"/>
  <c r="Q60" i="1"/>
  <c r="O27" i="1"/>
  <c r="G195" i="1"/>
  <c r="I60" i="1" s="1"/>
  <c r="Q61" i="1"/>
  <c r="G196" i="1"/>
  <c r="I61" i="1" s="1"/>
  <c r="G197" i="1"/>
  <c r="I62" i="1" s="1"/>
  <c r="Q76" i="1"/>
  <c r="Q8" i="1"/>
  <c r="K61" i="1"/>
  <c r="H246" i="1"/>
  <c r="O75" i="1" s="1"/>
  <c r="O101" i="1" s="1"/>
  <c r="O14" i="1" s="1"/>
  <c r="P87" i="1"/>
  <c r="K60" i="1"/>
  <c r="K62" i="1"/>
  <c r="G246" i="1"/>
  <c r="I75" i="1" s="1"/>
  <c r="I101" i="1" s="1"/>
  <c r="I14" i="1" s="1"/>
  <c r="G248" i="1"/>
  <c r="I77" i="1" s="1"/>
  <c r="I102" i="1" s="1"/>
  <c r="I15" i="1" s="1"/>
  <c r="J87" i="1"/>
  <c r="K57" i="1"/>
  <c r="K92" i="1"/>
  <c r="K87" i="1" s="1"/>
  <c r="J153" i="1"/>
  <c r="I87" i="1"/>
  <c r="I27" i="1"/>
  <c r="Q65" i="1"/>
  <c r="O141" i="1"/>
  <c r="O28" i="1" s="1"/>
  <c r="H28" i="1"/>
  <c r="Q57" i="1"/>
  <c r="K102" i="1"/>
  <c r="K15" i="1" s="1"/>
  <c r="I152" i="1"/>
  <c r="I29" i="1" s="1"/>
  <c r="H195" i="1"/>
  <c r="O60" i="1" s="1"/>
  <c r="H247" i="1"/>
  <c r="O76" i="1" s="1"/>
  <c r="G87" i="1"/>
  <c r="H87" i="1"/>
  <c r="H197" i="1"/>
  <c r="O62" i="1" s="1"/>
  <c r="O68" i="1" s="1"/>
  <c r="P37" i="1"/>
  <c r="I141" i="1"/>
  <c r="I28" i="1" s="1"/>
  <c r="N153" i="1"/>
  <c r="O152" i="1"/>
  <c r="O29" i="1" s="1"/>
  <c r="K20" i="1"/>
  <c r="K114" i="1"/>
  <c r="K8" i="1"/>
  <c r="N101" i="1"/>
  <c r="N14" i="1" s="1"/>
  <c r="M153" i="1"/>
  <c r="H248" i="1"/>
  <c r="O77" i="1" s="1"/>
  <c r="O102" i="1" s="1"/>
  <c r="O15" i="1" s="1"/>
  <c r="Q114" i="1"/>
  <c r="Q20" i="1"/>
  <c r="K65" i="1"/>
  <c r="I68" i="1" l="1"/>
  <c r="Q9" i="1"/>
  <c r="I9" i="1"/>
  <c r="K9" i="1"/>
  <c r="O9" i="1"/>
  <c r="Q68" i="1"/>
  <c r="I153" i="1"/>
  <c r="P153" i="1"/>
  <c r="O153" i="1"/>
  <c r="K68" i="1"/>
</calcChain>
</file>

<file path=xl/sharedStrings.xml><?xml version="1.0" encoding="utf-8"?>
<sst xmlns="http://schemas.openxmlformats.org/spreadsheetml/2006/main" count="318" uniqueCount="188">
  <si>
    <t>Les dépenses de l'Etat en faveur du climat</t>
  </si>
  <si>
    <t>Autorisations d'engagement</t>
  </si>
  <si>
    <t>Crédits de paiement</t>
  </si>
  <si>
    <t>version du 07/02/2025 à 17h06</t>
  </si>
  <si>
    <t>Exécuté 2023</t>
  </si>
  <si>
    <t>LFI 2024</t>
  </si>
  <si>
    <t>2024 post-décret d'annulation</t>
  </si>
  <si>
    <t>PLF 2025</t>
  </si>
  <si>
    <t>LFI 2025</t>
  </si>
  <si>
    <t>Synthèse</t>
  </si>
  <si>
    <t>(en millions d'euros)</t>
  </si>
  <si>
    <t>Bâtiment</t>
  </si>
  <si>
    <t>Versement à l'ANAH au titre de MaPrimeRénov'</t>
  </si>
  <si>
    <t>Rénovation des bâtiments de l'Etat</t>
  </si>
  <si>
    <t>Transports</t>
  </si>
  <si>
    <t>Aides véhicules propres</t>
  </si>
  <si>
    <t>Soutien au transport ferroviaire</t>
  </si>
  <si>
    <t>Soutien aux transports collectifs</t>
  </si>
  <si>
    <t>Energie</t>
  </si>
  <si>
    <t>Fonds Chaleur</t>
  </si>
  <si>
    <t>Charges de service public de l'énergie (CSPE)</t>
  </si>
  <si>
    <t>Industrie</t>
  </si>
  <si>
    <t>Décarbonation de l'industrie</t>
  </si>
  <si>
    <t>Agriculture &amp; Forêt</t>
  </si>
  <si>
    <t>P149 - Compétitivité et durabilité de l'agriculture, de l'agroalimentaire et de la forêt</t>
  </si>
  <si>
    <t>Dont planification écologique agriculture</t>
  </si>
  <si>
    <t>inconnu</t>
  </si>
  <si>
    <t>Dont planification écologique forêt</t>
  </si>
  <si>
    <t>Adaptation : lignes spécifiques</t>
  </si>
  <si>
    <t>Fonds de prévention des risques naturels majeurs (Fonds Barnier)</t>
  </si>
  <si>
    <t>Collectivités</t>
  </si>
  <si>
    <t>Fonds vert</t>
  </si>
  <si>
    <t>Détail</t>
  </si>
  <si>
    <t>Cases en orange : estimations des auteurs. Voir notice ci-dessous.</t>
  </si>
  <si>
    <t>P135</t>
  </si>
  <si>
    <t>MaPrimeRénov'</t>
  </si>
  <si>
    <t>P174</t>
  </si>
  <si>
    <t>P362</t>
  </si>
  <si>
    <t>Bâtiments publics</t>
  </si>
  <si>
    <t>MaPrimeRénov' copros</t>
  </si>
  <si>
    <t>Ministère de l’Éducation nationale</t>
  </si>
  <si>
    <t>Sous-total Versement à l'ANAH au titre de MaPrimeRénov'</t>
  </si>
  <si>
    <t>P348</t>
  </si>
  <si>
    <t>Etudes - Action 11</t>
  </si>
  <si>
    <t>Travaux et gros entretien à la charge du propriétaire - Action 12</t>
  </si>
  <si>
    <t>Résilience - Action 14</t>
  </si>
  <si>
    <t>P723</t>
  </si>
  <si>
    <t>Opérations structurantes et cessions - Action 11</t>
  </si>
  <si>
    <t>Gros entretien, réhabilitation, mise en conformité et remise en état - Action 14</t>
  </si>
  <si>
    <t>Sous-total Rénovation des bâtiments de l'Etat</t>
  </si>
  <si>
    <t>P203, hors fonds de concours</t>
  </si>
  <si>
    <t>Ferroviaire</t>
  </si>
  <si>
    <t>Voies navigables</t>
  </si>
  <si>
    <t>Transports collectifs</t>
  </si>
  <si>
    <t>dont nouvelles conventions TET</t>
  </si>
  <si>
    <t>Mobilités du quotidien</t>
  </si>
  <si>
    <t>Accélération des travaux d’infrastructures de transports</t>
  </si>
  <si>
    <t>Bornes électriques</t>
  </si>
  <si>
    <t>Verdissement parc auto</t>
  </si>
  <si>
    <t>AFITF : ressources</t>
  </si>
  <si>
    <t>(AE = CP)</t>
  </si>
  <si>
    <t>TICPE</t>
  </si>
  <si>
    <t>TSBA</t>
  </si>
  <si>
    <t>Taxe due par les concessionnaires d’autoroutes (TAT)</t>
  </si>
  <si>
    <t>Taxe sur les exploitants d’infrastructures de transports</t>
  </si>
  <si>
    <t>Autres ressources affectées (redevances domaniales, produit des amendes, recettes div. et excep.)</t>
  </si>
  <si>
    <t>AFITF : dépenses</t>
  </si>
  <si>
    <t>dont ferroviaire</t>
  </si>
  <si>
    <t>dont transports collectifs</t>
  </si>
  <si>
    <t>Fonds de concours ferroviaires</t>
  </si>
  <si>
    <t>SNCF régénération</t>
  </si>
  <si>
    <t>Sous-total ferroviaire</t>
  </si>
  <si>
    <t>Sous-total transports collectifs</t>
  </si>
  <si>
    <t>P181</t>
  </si>
  <si>
    <t>ADEME Fonds Chaleur</t>
  </si>
  <si>
    <t>P345</t>
  </si>
  <si>
    <t>Action 9 - soutien aux énergies renouvelables électriques en métropole</t>
  </si>
  <si>
    <t>Action 10 - soutien à l'injection de biométhane</t>
  </si>
  <si>
    <t>Sous-total Fonds Chaleur</t>
  </si>
  <si>
    <t>Sous-total Charges de service public de l'énergie (CSPE)</t>
  </si>
  <si>
    <t>P134 - Développement des entreprises et régulations</t>
  </si>
  <si>
    <t>Action 23 - Décarbonation de l’industrie</t>
  </si>
  <si>
    <t>Action 3 - Volet décarbonation de l'industrie du plan France Relance</t>
  </si>
  <si>
    <r>
      <rPr>
        <sz val="11"/>
        <color theme="1"/>
        <rFont val="Aptos Narrow"/>
        <family val="2"/>
      </rPr>
      <t xml:space="preserve">—  </t>
    </r>
    <r>
      <rPr>
        <sz val="11"/>
        <color theme="1"/>
        <rFont val="Aptos Narrow"/>
        <family val="2"/>
        <scheme val="minor"/>
      </rPr>
      <t>dont soutien à l'efficacité et l'adaptation des procédés</t>
    </r>
  </si>
  <si>
    <t xml:space="preserve">— dont soutien à la chaleur bas-carbone des entreprises industrielles </t>
  </si>
  <si>
    <t>P424</t>
  </si>
  <si>
    <t>Action 6 - France 2030 Industrialisation et déploiement</t>
  </si>
  <si>
    <t>— dont décarbonation de l'industrie</t>
  </si>
  <si>
    <t>Sous-total décarbonation de l'industrie</t>
  </si>
  <si>
    <t>Agriculture &amp; alimentation</t>
  </si>
  <si>
    <t>Mesures agroenvironnementales et climatiques (MAEC) et aides à l’agriculture biologique - Action 24 - Sous-action</t>
  </si>
  <si>
    <t>Décarbonation en agriculture - Action 29 - Sous-action</t>
  </si>
  <si>
    <t>n.e.</t>
  </si>
  <si>
    <t>Diagnostic carbone - Action 29 - Sous-action</t>
  </si>
  <si>
    <t>Fonds en faveur de la souveraineté alimentaire et des transitions - Action 29 - Sous-action</t>
  </si>
  <si>
    <t>Plan haies - Action 29 - Sous-action</t>
  </si>
  <si>
    <t>Plan protéines - Action 29 - Sous-action</t>
  </si>
  <si>
    <t>Soutien à l’agriculture biologique - Action 29 - Sous-action</t>
  </si>
  <si>
    <t>Sous-total planification écologique agri</t>
  </si>
  <si>
    <t>Forêt</t>
  </si>
  <si>
    <t>Soutien au renouvellement forestier - Action 29.06</t>
  </si>
  <si>
    <t>Dynamisation de l'aval bois matériau - Action 29.07</t>
  </si>
  <si>
    <t>Défense des forêts contre les incendies (DFCI) - Action 29.08</t>
  </si>
  <si>
    <t>Graines et plants, et travaux forestiers - Action 29.09</t>
  </si>
  <si>
    <t>Forêt en Outre mer - Action 29.10</t>
  </si>
  <si>
    <t>Sous-total planification écologique forêt</t>
  </si>
  <si>
    <t>Total planification écologique agriculture et forêt</t>
  </si>
  <si>
    <t>Lignes spécifiques adaptation</t>
  </si>
  <si>
    <t>P181 - Prévention des risques</t>
  </si>
  <si>
    <t xml:space="preserve">Fonds de prévention des risques naturels majeurs - Action 14 </t>
  </si>
  <si>
    <t>P380</t>
  </si>
  <si>
    <t>n.e. : non estimé</t>
  </si>
  <si>
    <t>Notice</t>
  </si>
  <si>
    <t>2024 post-décret</t>
  </si>
  <si>
    <t>Sur l'année 2024, pour MaPrimeRénov' : Nous comprenons que le décret de février 2024 annule à hauteur de :</t>
  </si>
  <si>
    <t>● - 300 millions d'euros en AE et CP sur le programme 135</t>
  </si>
  <si>
    <t>● - 700 millions d'euros en AE et CP sur le programme 174</t>
  </si>
  <si>
    <t>2025 LFI</t>
  </si>
  <si>
    <t xml:space="preserve">Nous comprenons, que par rapport au PLF, le budget à MaPrimeRénov' comprend ces évolutions :  </t>
  </si>
  <si>
    <t>● +50 millions d'euros en AE et CP suite à l'adoption d'un amendement du Sénat (programme 135)</t>
  </si>
  <si>
    <t>● -460 millions d'euros et CP suite à l'adoption d'une proposition des rapporteurs de la Commission Mixte Paritaire (programme 135)</t>
  </si>
  <si>
    <t>[LIEN]</t>
  </si>
  <si>
    <t xml:space="preserve">Cette réduction tient compte : </t>
  </si>
  <si>
    <t>- d'une plus grande mobilisation de la trésorerie de l'ANAH</t>
  </si>
  <si>
    <t>- d'un renforcement de la lutte contre la fraude</t>
  </si>
  <si>
    <t>- de la prise en comtpe de l'interruption de versement en début d'année, sous le régime de la loi spéciale</t>
  </si>
  <si>
    <t>Le programme 345 comprend 20 millions d'euros en AE et CP en plus dans le texte adopté par 49.3 par rapport au texte issu de la commission mixte paritaire.</t>
  </si>
  <si>
    <t>Nous ne savons pas si cela concerne les aides MaPrieRénov'.</t>
  </si>
  <si>
    <t>Programmes 348 et 723</t>
  </si>
  <si>
    <t>Le décret d'annulation ne permet pas de savoir quelles sont les actions concernées par les coupes budgétaires au sein du programme 348.</t>
  </si>
  <si>
    <t>Afin d'avoir une estimation des coupes budgétaires sur les actions suivies dans le tableau, nous appliquons les réductions de dépenses au prorata du poids des actions dans ce programme budgétaire.</t>
  </si>
  <si>
    <t>Hypothèses coupes 2024 sur le programme 348 pour l'année 2024</t>
  </si>
  <si>
    <t>AE</t>
  </si>
  <si>
    <t>CP</t>
  </si>
  <si>
    <t>Coupes en CP et AE sur 203</t>
  </si>
  <si>
    <t>Total crédits budgétaires hors fonds de concours LFI 2024 sur le P203</t>
  </si>
  <si>
    <t>Répartition des coupes par mode de transport</t>
  </si>
  <si>
    <t>Par rapport au PLF, les crédits budgétaires (AE et CP) des programme 348 et 723 qui figurent dans le texte à la sortie de la Commission Mixte Paritaires sont en baisse.</t>
  </si>
  <si>
    <t>Hypothèses de réductions de dépenses budgétaires sur le programme 348 pour l'année 2025</t>
  </si>
  <si>
    <t>PLF</t>
  </si>
  <si>
    <t>PLF en cours</t>
  </si>
  <si>
    <t>Niveau de la coupe</t>
  </si>
  <si>
    <t>Hypothèses de réductions de dépenses budgétaires sur le programme 723 pour l'année 2025</t>
  </si>
  <si>
    <t>Infrastrutures de transport</t>
  </si>
  <si>
    <t>AFITF</t>
  </si>
  <si>
    <t xml:space="preserve">Les ressources et les dépenses sont extraites des budgets communiqués par l'agence : </t>
  </si>
  <si>
    <t xml:space="preserve">Dépenses </t>
  </si>
  <si>
    <t>Budget initial 2025</t>
  </si>
  <si>
    <t>idem</t>
  </si>
  <si>
    <t>2024 coupé</t>
  </si>
  <si>
    <t>Budget rectificatif n°1 pour 2024</t>
  </si>
  <si>
    <t>2024 initial</t>
  </si>
  <si>
    <t>Budget initial pour 2024</t>
  </si>
  <si>
    <t>Budget exécuté pour 2023</t>
  </si>
  <si>
    <t>Ressources</t>
  </si>
  <si>
    <t>LFI 2025 (taxes affectées)</t>
  </si>
  <si>
    <t>Fonds de concours SNCF régénération</t>
  </si>
  <si>
    <t>Source retenue : rapport sénatorial, p.59.</t>
  </si>
  <si>
    <t xml:space="preserve">NB : l'avis de l'ART sur le budget SNCF Réseau pour 2025 mentionne un montant plus élevé : </t>
  </si>
  <si>
    <t>SNCF Réseau bénéficiera en 2025 d’un montant total de subventions de 1 561 millions d’euros, représentant près de la moitié de ses investissements de régénération</t>
  </si>
  <si>
    <t xml:space="preserve">Il s'agit vraisemblablement du Fonds de concours SNCF et des contributions des régions (environ 200M€/an). </t>
  </si>
  <si>
    <t>Programme 203</t>
  </si>
  <si>
    <t>Hypothèses coupes 2024 sur le programme 203 pour l'année 2024</t>
  </si>
  <si>
    <t>Hypothèses coupes 2025 sur le programme 203 hors FdC et AdP</t>
  </si>
  <si>
    <t xml:space="preserve">Charges de service public de l'énergie </t>
  </si>
  <si>
    <t>Nous n'avons pas la connaissance de variations de crédits budgétaires suite au décret d'annulation.</t>
  </si>
  <si>
    <t>Toutefois, nous anticipons une augmentation des exécutions suite à la baisse des prix de l'électricité et du gaz.</t>
  </si>
  <si>
    <t>Cf. délibération CRE juillet 2024</t>
  </si>
  <si>
    <t>2025 post-CMP</t>
  </si>
  <si>
    <t>Par rapport au projet de loi de finances initial, le gouvernement avait fait adopter une baisse de 214 millions d’euros (AE et CP) fin novembre 2024 grâce à "des mesures de maîtrise et de modération des hausses de dépenses de soutien à la production d’énergies renouvelables".</t>
  </si>
  <si>
    <t>Nous avons supposé que ces baisses budgétaires concernent l'électricité renouvelable en métropole et l'injection de biométhane.</t>
  </si>
  <si>
    <t>Dans le texte adopté par 49.3, celui-ci fait apparaitre +2,15 milliars d'euros par rapport au texte issu de la commission mixte paritaire.</t>
  </si>
  <si>
    <t>De ce total, 1,7 milliards d'euros correspondent à un ajustement comptable : une réforme du financement de la péréquation ZNI par taxe affectée a été reportée au 1er août 2025, une partie des charges annuelles de ce dispositif sont "revenues" dans le programme.</t>
  </si>
  <si>
    <t>En outre, l'exposé des motifs précise que "l’actualisation du scénario macroéconomique et les dernières données disponibles impliquent une hausse des dépenses dues au titre des charges de service public de l’énergie par rapport à la prévision initiale de juillet (...) à hauteur de 377 M€"</t>
  </si>
  <si>
    <t xml:space="preserve">Nous attribuons cette augmentation à la ligne électricité, bien qu'elle soit probablement répartie entre les lignes électricité et biométhane. </t>
  </si>
  <si>
    <t xml:space="preserve">L'action 23 du programme 134 inclut l'amendement dit "Lescure" portant les AE à 1550 millions d'euros pour 2025, sans inscrire de crédits de paiement. </t>
  </si>
  <si>
    <t xml:space="preserve">Les soutiens à la décarbonation de l'industrie dans le programme 424 sont estimés à 16% de l'action 6, sur la base de la proportion de cette thématique dans l'ensemble des financements engagés pour cette action. </t>
  </si>
  <si>
    <t>Le total pour la décarbonation de l'industrie ne comprend pas les soutiens à l'hydrogène décarboné (693 millions d'euros en AE, 25 millions d'euros en CP pour 2025)</t>
  </si>
  <si>
    <t>Agriculture et alimentation</t>
  </si>
  <si>
    <t>Entre le PLF initial 2025 et le texte issu de la CMP, le programme 149 perd des AE et des CP. Nous ne savons pas comment cette coupe est répercutée sur les lignes dédiées à la planification écologique.</t>
  </si>
  <si>
    <t>Après décret d'annulation, le programme 181 a enregistré :</t>
  </si>
  <si>
    <t>- 60 millions d'euros d'autorisations d'engagement annulés</t>
  </si>
  <si>
    <t>- 70 millions d'euros de crédits de paiement annulés</t>
  </si>
  <si>
    <t xml:space="preserve">Nous ne savons pas si ces annulations concernent les lignes suivies. </t>
  </si>
  <si>
    <t>Nous ne connaissons pas les variations entre le PLF initial 2025 et le texte adopté par 49.3.</t>
  </si>
  <si>
    <t>Le document issu de Contexte (p.15) mentionne une reprise partielle de l'amendement de la commission des finances du Sénat pour financer davantage la prévention des risques, dont le Fonds Barnier</t>
  </si>
  <si>
    <t>Fonds Vert 2025</t>
  </si>
  <si>
    <t>Au total, le niveau de crédits de paiement (CP) s’élève à 1,124 Md€ sur ce programme, identique au niveau de la loi de finances initiale (LFI) pour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</si>
</sst>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6"/>
      <color theme="1"/>
      <name val="Aptos Narrow"/>
      <family val="2"/>
      <scheme val="minor"/>
    </font>
    <font>
      <b/>
      <sz val="14"/>
      <color theme="1"/>
      <name val="Aptos Narrow"/>
      <family val="2"/>
      <scheme val="minor"/>
    </font>
    <font>
      <i/>
      <sz val="11"/>
      <color theme="1"/>
      <name val="Aptos Narrow"/>
      <family val="2"/>
      <scheme val="minor"/>
    </font>
    <font>
      <b/>
      <sz val="11"/>
      <name val="Aptos Narrow"/>
      <family val="2"/>
      <scheme val="minor"/>
    </font>
    <font>
      <sz val="11"/>
      <name val="Aptos Narrow"/>
      <family val="2"/>
      <scheme val="minor"/>
    </font>
    <font>
      <sz val="11"/>
      <color theme="1"/>
      <name val="Aptos Narrow"/>
      <family val="2"/>
    </font>
    <font>
      <b/>
      <sz val="12"/>
      <color theme="1"/>
      <name val="Aptos Narrow"/>
      <family val="2"/>
      <scheme val="minor"/>
    </font>
    <font>
      <u/>
      <sz val="11"/>
      <color theme="1"/>
      <name val="Aptos Narrow"/>
      <family val="2"/>
      <scheme val="minor"/>
    </font>
  </fonts>
  <fills count="1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rgb="FFD7C5BB"/>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226">
    <xf numFmtId="0" fontId="0" fillId="0" borderId="0" xfId="0"/>
    <xf numFmtId="0" fontId="6" fillId="0" borderId="0" xfId="0" applyFont="1"/>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vertical="center"/>
    </xf>
    <xf numFmtId="0" fontId="7" fillId="0" borderId="0" xfId="0" applyFont="1"/>
    <xf numFmtId="0" fontId="5" fillId="0" borderId="1" xfId="2" applyBorder="1"/>
    <xf numFmtId="0" fontId="5" fillId="0" borderId="6" xfId="2" applyBorder="1"/>
    <xf numFmtId="0" fontId="0" fillId="0" borderId="3" xfId="0" applyBorder="1"/>
    <xf numFmtId="0" fontId="0" fillId="0" borderId="4" xfId="0" applyBorder="1"/>
    <xf numFmtId="0" fontId="2" fillId="2" borderId="1" xfId="0" applyFont="1" applyFill="1" applyBorder="1" applyAlignment="1">
      <alignment vertical="center"/>
    </xf>
    <xf numFmtId="0" fontId="2" fillId="2" borderId="6" xfId="0" applyFont="1" applyFill="1" applyBorder="1"/>
    <xf numFmtId="0" fontId="4" fillId="2" borderId="1" xfId="0" applyFont="1" applyFill="1" applyBorder="1"/>
    <xf numFmtId="0" fontId="4" fillId="2" borderId="6" xfId="0" applyFont="1" applyFill="1" applyBorder="1"/>
    <xf numFmtId="0" fontId="4" fillId="2" borderId="7" xfId="0" applyFont="1" applyFill="1" applyBorder="1"/>
    <xf numFmtId="0" fontId="0" fillId="0" borderId="8" xfId="0" applyBorder="1"/>
    <xf numFmtId="0" fontId="0" fillId="0" borderId="9" xfId="0" applyBorder="1"/>
    <xf numFmtId="0" fontId="0" fillId="0" borderId="8" xfId="0" applyBorder="1" applyAlignment="1">
      <alignment vertical="center"/>
    </xf>
    <xf numFmtId="3" fontId="0" fillId="0" borderId="8" xfId="0" applyNumberFormat="1" applyBorder="1" applyAlignment="1">
      <alignment horizontal="right" vertical="center" indent="1"/>
    </xf>
    <xf numFmtId="3" fontId="0" fillId="0" borderId="0" xfId="0" applyNumberFormat="1" applyAlignment="1">
      <alignment horizontal="right" vertical="center" indent="1"/>
    </xf>
    <xf numFmtId="3" fontId="0" fillId="0" borderId="9" xfId="0" applyNumberFormat="1" applyBorder="1" applyAlignment="1">
      <alignment horizontal="right" vertical="center" indent="1"/>
    </xf>
    <xf numFmtId="3" fontId="0" fillId="0" borderId="0" xfId="0" applyNumberFormat="1"/>
    <xf numFmtId="0" fontId="8" fillId="0" borderId="0" xfId="0" applyFont="1"/>
    <xf numFmtId="3" fontId="8" fillId="0" borderId="8" xfId="0" applyNumberFormat="1" applyFont="1" applyBorder="1" applyAlignment="1">
      <alignment horizontal="right" vertical="center" indent="1"/>
    </xf>
    <xf numFmtId="3" fontId="8" fillId="0" borderId="0" xfId="0" applyNumberFormat="1" applyFont="1" applyAlignment="1">
      <alignment horizontal="right" vertical="center" indent="1"/>
    </xf>
    <xf numFmtId="3" fontId="8" fillId="0" borderId="9" xfId="0" applyNumberFormat="1" applyFont="1" applyBorder="1" applyAlignment="1">
      <alignment horizontal="right" vertical="center" indent="1"/>
    </xf>
    <xf numFmtId="0" fontId="0" fillId="0" borderId="3" xfId="0" applyBorder="1" applyAlignment="1">
      <alignment vertical="center"/>
    </xf>
    <xf numFmtId="3" fontId="0" fillId="0" borderId="3" xfId="0" applyNumberFormat="1" applyBorder="1" applyAlignment="1">
      <alignment horizontal="right" vertical="center" indent="1"/>
    </xf>
    <xf numFmtId="3" fontId="0" fillId="0" borderId="4" xfId="0" applyNumberFormat="1" applyBorder="1" applyAlignment="1">
      <alignment horizontal="right" vertical="center" indent="1"/>
    </xf>
    <xf numFmtId="3" fontId="0" fillId="0" borderId="5" xfId="0" applyNumberFormat="1" applyBorder="1" applyAlignment="1">
      <alignment horizontal="right" vertical="center" indent="1"/>
    </xf>
    <xf numFmtId="0" fontId="2" fillId="3" borderId="1" xfId="0" applyFont="1" applyFill="1" applyBorder="1" applyAlignment="1">
      <alignment vertical="center"/>
    </xf>
    <xf numFmtId="0" fontId="2" fillId="3" borderId="6" xfId="0" applyFont="1" applyFill="1" applyBorder="1"/>
    <xf numFmtId="3" fontId="4" fillId="3" borderId="1" xfId="0" applyNumberFormat="1" applyFont="1" applyFill="1" applyBorder="1" applyAlignment="1">
      <alignment horizontal="right" vertical="center" indent="1"/>
    </xf>
    <xf numFmtId="3" fontId="4" fillId="3" borderId="6" xfId="0" applyNumberFormat="1" applyFont="1" applyFill="1" applyBorder="1" applyAlignment="1">
      <alignment horizontal="right" vertical="center" indent="1"/>
    </xf>
    <xf numFmtId="3" fontId="4" fillId="3" borderId="7" xfId="0" applyNumberFormat="1" applyFont="1" applyFill="1" applyBorder="1" applyAlignment="1">
      <alignment horizontal="right" vertical="center" indent="1"/>
    </xf>
    <xf numFmtId="0" fontId="9" fillId="4" borderId="8" xfId="0" applyFont="1" applyFill="1" applyBorder="1" applyAlignment="1">
      <alignment vertical="center"/>
    </xf>
    <xf numFmtId="0" fontId="9" fillId="4" borderId="0" xfId="0" applyFont="1" applyFill="1"/>
    <xf numFmtId="3" fontId="4" fillId="4" borderId="8" xfId="0" applyNumberFormat="1" applyFont="1" applyFill="1" applyBorder="1" applyAlignment="1">
      <alignment horizontal="right" vertical="center" indent="1"/>
    </xf>
    <xf numFmtId="3" fontId="4" fillId="4" borderId="0" xfId="0" applyNumberFormat="1" applyFont="1" applyFill="1" applyAlignment="1">
      <alignment horizontal="right" vertical="center" indent="1"/>
    </xf>
    <xf numFmtId="3" fontId="4" fillId="4" borderId="9" xfId="0" applyNumberFormat="1" applyFont="1" applyFill="1" applyBorder="1" applyAlignment="1">
      <alignment horizontal="right" vertical="center" indent="1"/>
    </xf>
    <xf numFmtId="0" fontId="0" fillId="0" borderId="3" xfId="0" applyBorder="1" applyAlignment="1">
      <alignment horizontal="right" vertical="center" indent="1"/>
    </xf>
    <xf numFmtId="0" fontId="0" fillId="0" borderId="4" xfId="0" applyBorder="1" applyAlignment="1">
      <alignment horizontal="right" vertical="center" indent="1"/>
    </xf>
    <xf numFmtId="0" fontId="0" fillId="0" borderId="5" xfId="0" applyBorder="1" applyAlignment="1">
      <alignment horizontal="right" vertical="center" indent="1"/>
    </xf>
    <xf numFmtId="0" fontId="0" fillId="0" borderId="0" xfId="0" applyAlignment="1">
      <alignment horizontal="right" vertical="center" indent="1"/>
    </xf>
    <xf numFmtId="0" fontId="2" fillId="5" borderId="1" xfId="0" applyFont="1" applyFill="1" applyBorder="1" applyAlignment="1">
      <alignment vertical="center"/>
    </xf>
    <xf numFmtId="0" fontId="2" fillId="5" borderId="6" xfId="0" applyFont="1" applyFill="1" applyBorder="1"/>
    <xf numFmtId="3" fontId="4" fillId="5" borderId="1" xfId="0" applyNumberFormat="1" applyFont="1" applyFill="1" applyBorder="1" applyAlignment="1">
      <alignment horizontal="right" vertical="center" indent="1"/>
    </xf>
    <xf numFmtId="3" fontId="4" fillId="5" borderId="6" xfId="0" applyNumberFormat="1" applyFont="1" applyFill="1" applyBorder="1" applyAlignment="1">
      <alignment horizontal="right" vertical="center" indent="1"/>
    </xf>
    <xf numFmtId="3" fontId="4" fillId="5" borderId="7" xfId="0" applyNumberFormat="1" applyFont="1" applyFill="1" applyBorder="1" applyAlignment="1">
      <alignment horizontal="right" vertical="center" indent="1"/>
    </xf>
    <xf numFmtId="0" fontId="9" fillId="6" borderId="1" xfId="0" applyFont="1" applyFill="1" applyBorder="1" applyAlignment="1">
      <alignment vertical="center"/>
    </xf>
    <xf numFmtId="0" fontId="9" fillId="6" borderId="6" xfId="0" applyFont="1" applyFill="1" applyBorder="1"/>
    <xf numFmtId="3" fontId="4" fillId="6" borderId="1" xfId="0" applyNumberFormat="1" applyFont="1" applyFill="1" applyBorder="1" applyAlignment="1">
      <alignment horizontal="right" vertical="center" indent="1"/>
    </xf>
    <xf numFmtId="3" fontId="4" fillId="6" borderId="6" xfId="0" applyNumberFormat="1" applyFont="1" applyFill="1" applyBorder="1" applyAlignment="1">
      <alignment horizontal="right" vertical="center" indent="1"/>
    </xf>
    <xf numFmtId="3" fontId="4" fillId="6" borderId="7" xfId="0" applyNumberFormat="1" applyFont="1" applyFill="1" applyBorder="1" applyAlignment="1">
      <alignment horizontal="right" vertical="center" indent="1"/>
    </xf>
    <xf numFmtId="0" fontId="10" fillId="0" borderId="8" xfId="0" applyFont="1" applyBorder="1" applyAlignment="1">
      <alignment vertical="center"/>
    </xf>
    <xf numFmtId="0" fontId="8" fillId="0" borderId="8" xfId="0" applyFont="1" applyBorder="1" applyAlignment="1">
      <alignment horizontal="left" vertical="center" indent="1"/>
    </xf>
    <xf numFmtId="3" fontId="8" fillId="0" borderId="0" xfId="0" applyNumberFormat="1" applyFont="1"/>
    <xf numFmtId="0" fontId="9" fillId="7" borderId="1" xfId="0" applyFont="1" applyFill="1" applyBorder="1" applyAlignment="1">
      <alignment vertical="center"/>
    </xf>
    <xf numFmtId="0" fontId="9" fillId="7" borderId="6" xfId="0" applyFont="1" applyFill="1" applyBorder="1"/>
    <xf numFmtId="3" fontId="10" fillId="7" borderId="1" xfId="0" applyNumberFormat="1" applyFont="1" applyFill="1" applyBorder="1" applyAlignment="1">
      <alignment horizontal="right" vertical="center" indent="1"/>
    </xf>
    <xf numFmtId="3" fontId="10" fillId="7" borderId="6" xfId="0" applyNumberFormat="1" applyFont="1" applyFill="1" applyBorder="1" applyAlignment="1">
      <alignment horizontal="right" vertical="center" indent="1"/>
    </xf>
    <xf numFmtId="3" fontId="10" fillId="7" borderId="7" xfId="0" applyNumberFormat="1" applyFont="1" applyFill="1" applyBorder="1" applyAlignment="1">
      <alignment horizontal="right" vertical="center" indent="1"/>
    </xf>
    <xf numFmtId="3" fontId="4" fillId="7" borderId="1" xfId="0" applyNumberFormat="1" applyFont="1" applyFill="1" applyBorder="1" applyAlignment="1">
      <alignment horizontal="right" vertical="center" indent="1"/>
    </xf>
    <xf numFmtId="3" fontId="4" fillId="7" borderId="6" xfId="0" applyNumberFormat="1" applyFont="1" applyFill="1" applyBorder="1" applyAlignment="1">
      <alignment horizontal="right" vertical="center" indent="1"/>
    </xf>
    <xf numFmtId="3" fontId="4" fillId="7" borderId="7" xfId="0" applyNumberFormat="1" applyFont="1" applyFill="1" applyBorder="1" applyAlignment="1">
      <alignment horizontal="right" vertical="center" indent="1"/>
    </xf>
    <xf numFmtId="0" fontId="10" fillId="0" borderId="0" xfId="0" applyFont="1"/>
    <xf numFmtId="0" fontId="2" fillId="8" borderId="1" xfId="0" applyFont="1" applyFill="1" applyBorder="1" applyAlignment="1">
      <alignment vertical="center"/>
    </xf>
    <xf numFmtId="0" fontId="2" fillId="8" borderId="6" xfId="0" applyFont="1" applyFill="1" applyBorder="1"/>
    <xf numFmtId="3" fontId="4" fillId="8" borderId="1" xfId="0" applyNumberFormat="1" applyFont="1" applyFill="1" applyBorder="1" applyAlignment="1">
      <alignment horizontal="right" vertical="center" indent="1"/>
    </xf>
    <xf numFmtId="3" fontId="4" fillId="8" borderId="6" xfId="0" applyNumberFormat="1" applyFont="1" applyFill="1" applyBorder="1" applyAlignment="1">
      <alignment horizontal="right" vertical="center" indent="1"/>
    </xf>
    <xf numFmtId="3" fontId="4" fillId="8" borderId="7" xfId="0" applyNumberFormat="1" applyFont="1" applyFill="1" applyBorder="1" applyAlignment="1">
      <alignment horizontal="right" vertical="center" indent="1"/>
    </xf>
    <xf numFmtId="0" fontId="10" fillId="0" borderId="3" xfId="0" applyFont="1" applyBorder="1" applyAlignment="1">
      <alignment vertical="center"/>
    </xf>
    <xf numFmtId="0" fontId="10" fillId="0" borderId="4" xfId="0" applyFont="1" applyBorder="1"/>
    <xf numFmtId="3" fontId="0" fillId="0" borderId="3" xfId="0" applyNumberFormat="1" applyBorder="1" applyAlignment="1">
      <alignment horizontal="right" indent="1"/>
    </xf>
    <xf numFmtId="3" fontId="0" fillId="0" borderId="4" xfId="0" applyNumberFormat="1" applyBorder="1" applyAlignment="1">
      <alignment horizontal="right" indent="1"/>
    </xf>
    <xf numFmtId="3" fontId="0" fillId="0" borderId="5" xfId="0" applyNumberFormat="1" applyBorder="1" applyAlignment="1">
      <alignment horizontal="right" indent="1"/>
    </xf>
    <xf numFmtId="3" fontId="0" fillId="0" borderId="0" xfId="0" applyNumberFormat="1" applyAlignment="1">
      <alignment horizontal="right" indent="1"/>
    </xf>
    <xf numFmtId="0" fontId="0" fillId="0" borderId="5" xfId="0" applyBorder="1"/>
    <xf numFmtId="0" fontId="0" fillId="0" borderId="6" xfId="0" applyBorder="1"/>
    <xf numFmtId="0" fontId="3" fillId="0" borderId="0" xfId="0" applyFont="1"/>
    <xf numFmtId="0" fontId="10" fillId="0" borderId="1" xfId="2" applyFont="1" applyBorder="1"/>
    <xf numFmtId="0" fontId="5" fillId="0" borderId="7" xfId="2" applyBorder="1"/>
    <xf numFmtId="0" fontId="2" fillId="2" borderId="8" xfId="0" applyFont="1" applyFill="1" applyBorder="1"/>
    <xf numFmtId="0" fontId="2" fillId="2" borderId="0" xfId="0" applyFont="1" applyFill="1"/>
    <xf numFmtId="0" fontId="4" fillId="2" borderId="8" xfId="0" applyFont="1" applyFill="1" applyBorder="1"/>
    <xf numFmtId="0" fontId="4" fillId="2" borderId="0" xfId="0" applyFont="1" applyFill="1"/>
    <xf numFmtId="0" fontId="4" fillId="2" borderId="9" xfId="0" applyFont="1" applyFill="1" applyBorder="1"/>
    <xf numFmtId="3" fontId="0" fillId="0" borderId="8" xfId="0" applyNumberFormat="1" applyBorder="1"/>
    <xf numFmtId="3" fontId="0" fillId="0" borderId="9" xfId="0" applyNumberFormat="1" applyBorder="1"/>
    <xf numFmtId="3" fontId="10" fillId="0" borderId="0" xfId="0" applyNumberFormat="1" applyFont="1"/>
    <xf numFmtId="0" fontId="0" fillId="0" borderId="8" xfId="0" applyBorder="1" applyAlignment="1">
      <alignment horizontal="left" vertical="center" indent="1"/>
    </xf>
    <xf numFmtId="0" fontId="0" fillId="0" borderId="0" xfId="0" applyAlignment="1">
      <alignment horizontal="left" vertical="center" indent="1"/>
    </xf>
    <xf numFmtId="3" fontId="0" fillId="0" borderId="8" xfId="0" applyNumberFormat="1" applyBorder="1" applyAlignment="1">
      <alignment horizontal="right" indent="1"/>
    </xf>
    <xf numFmtId="3" fontId="0" fillId="0" borderId="9" xfId="0" applyNumberFormat="1" applyBorder="1" applyAlignment="1">
      <alignment horizontal="right" indent="1"/>
    </xf>
    <xf numFmtId="3" fontId="0" fillId="9" borderId="9" xfId="0" applyNumberFormat="1" applyFill="1" applyBorder="1" applyAlignment="1">
      <alignment horizontal="right" indent="1"/>
    </xf>
    <xf numFmtId="0" fontId="5" fillId="0" borderId="0" xfId="2"/>
    <xf numFmtId="0" fontId="0" fillId="0" borderId="8" xfId="0" applyBorder="1" applyAlignment="1">
      <alignment horizontal="left" indent="1"/>
    </xf>
    <xf numFmtId="0" fontId="0" fillId="0" borderId="0" xfId="0" applyAlignment="1">
      <alignment horizontal="left" indent="1"/>
    </xf>
    <xf numFmtId="0" fontId="8" fillId="0" borderId="8" xfId="0" applyFont="1" applyBorder="1" applyAlignment="1">
      <alignment horizontal="left" indent="2"/>
    </xf>
    <xf numFmtId="0" fontId="8" fillId="0" borderId="0" xfId="0" applyFont="1" applyAlignment="1">
      <alignment horizontal="left" indent="2"/>
    </xf>
    <xf numFmtId="3" fontId="8" fillId="0" borderId="8" xfId="0" applyNumberFormat="1" applyFont="1" applyBorder="1" applyAlignment="1">
      <alignment horizontal="right" indent="1"/>
    </xf>
    <xf numFmtId="3" fontId="8" fillId="0" borderId="0" xfId="0" applyNumberFormat="1" applyFont="1" applyAlignment="1">
      <alignment horizontal="right" indent="1"/>
    </xf>
    <xf numFmtId="0" fontId="3" fillId="10" borderId="8" xfId="0" applyFont="1" applyFill="1" applyBorder="1" applyAlignment="1">
      <alignment horizontal="left" indent="1"/>
    </xf>
    <xf numFmtId="0" fontId="3" fillId="10" borderId="0" xfId="0" applyFont="1" applyFill="1" applyAlignment="1">
      <alignment horizontal="left" indent="1"/>
    </xf>
    <xf numFmtId="3" fontId="3" fillId="10" borderId="8" xfId="0" applyNumberFormat="1" applyFont="1" applyFill="1" applyBorder="1" applyAlignment="1">
      <alignment horizontal="right" indent="1"/>
    </xf>
    <xf numFmtId="3" fontId="3" fillId="10" borderId="0" xfId="0" applyNumberFormat="1" applyFont="1" applyFill="1" applyAlignment="1">
      <alignment horizontal="right" indent="1"/>
    </xf>
    <xf numFmtId="3" fontId="3" fillId="10" borderId="9" xfId="0" applyNumberFormat="1" applyFont="1" applyFill="1" applyBorder="1" applyAlignment="1">
      <alignment horizontal="right" indent="1"/>
    </xf>
    <xf numFmtId="3" fontId="0" fillId="9" borderId="0" xfId="0" applyNumberFormat="1" applyFill="1" applyAlignment="1">
      <alignment horizontal="right" indent="1"/>
    </xf>
    <xf numFmtId="3" fontId="10" fillId="0" borderId="0" xfId="0" applyNumberFormat="1" applyFont="1" applyAlignment="1">
      <alignment horizontal="right" indent="1"/>
    </xf>
    <xf numFmtId="3" fontId="0" fillId="0" borderId="3" xfId="0" applyNumberFormat="1" applyBorder="1"/>
    <xf numFmtId="3" fontId="0" fillId="0" borderId="4" xfId="0" applyNumberFormat="1" applyBorder="1"/>
    <xf numFmtId="3" fontId="0" fillId="0" borderId="5" xfId="0" applyNumberFormat="1" applyBorder="1"/>
    <xf numFmtId="0" fontId="2" fillId="3" borderId="8" xfId="0" applyFont="1" applyFill="1" applyBorder="1"/>
    <xf numFmtId="0" fontId="2" fillId="3" borderId="0" xfId="0" applyFont="1" applyFill="1"/>
    <xf numFmtId="3" fontId="4" fillId="3" borderId="8" xfId="0" applyNumberFormat="1" applyFont="1" applyFill="1" applyBorder="1"/>
    <xf numFmtId="3" fontId="4" fillId="3" borderId="0" xfId="0" applyNumberFormat="1" applyFont="1" applyFill="1"/>
    <xf numFmtId="3" fontId="4" fillId="3" borderId="9" xfId="0" applyNumberFormat="1" applyFont="1" applyFill="1" applyBorder="1"/>
    <xf numFmtId="0" fontId="0" fillId="0" borderId="8" xfId="0" applyBorder="1" applyAlignment="1">
      <alignment horizontal="left" indent="2"/>
    </xf>
    <xf numFmtId="0" fontId="3" fillId="11" borderId="8" xfId="0" applyFont="1" applyFill="1" applyBorder="1" applyAlignment="1">
      <alignment horizontal="left" indent="1"/>
    </xf>
    <xf numFmtId="0" fontId="3" fillId="11" borderId="0" xfId="0" applyFont="1" applyFill="1" applyAlignment="1">
      <alignment horizontal="left" indent="1"/>
    </xf>
    <xf numFmtId="3" fontId="3" fillId="11" borderId="8" xfId="0" applyNumberFormat="1" applyFont="1" applyFill="1" applyBorder="1" applyAlignment="1">
      <alignment horizontal="right" indent="1"/>
    </xf>
    <xf numFmtId="3" fontId="3" fillId="11" borderId="0" xfId="0" applyNumberFormat="1" applyFont="1" applyFill="1" applyAlignment="1">
      <alignment horizontal="right" indent="1"/>
    </xf>
    <xf numFmtId="3" fontId="3" fillId="11" borderId="9" xfId="0" applyNumberFormat="1" applyFont="1" applyFill="1" applyBorder="1" applyAlignment="1">
      <alignment horizontal="right" indent="1"/>
    </xf>
    <xf numFmtId="0" fontId="9" fillId="4" borderId="8" xfId="0" applyFont="1" applyFill="1" applyBorder="1"/>
    <xf numFmtId="3" fontId="4" fillId="4" borderId="8" xfId="0" applyNumberFormat="1" applyFont="1" applyFill="1" applyBorder="1" applyAlignment="1">
      <alignment horizontal="right" indent="1"/>
    </xf>
    <xf numFmtId="3" fontId="4" fillId="4" borderId="0" xfId="0" applyNumberFormat="1" applyFont="1" applyFill="1" applyAlignment="1">
      <alignment horizontal="right" indent="1"/>
    </xf>
    <xf numFmtId="3" fontId="4" fillId="4" borderId="9" xfId="0" applyNumberFormat="1" applyFont="1" applyFill="1" applyBorder="1" applyAlignment="1">
      <alignment horizontal="right" indent="1"/>
    </xf>
    <xf numFmtId="0" fontId="3" fillId="12" borderId="8" xfId="0" applyFont="1" applyFill="1" applyBorder="1" applyAlignment="1">
      <alignment horizontal="left" indent="1"/>
    </xf>
    <xf numFmtId="0" fontId="3" fillId="12" borderId="0" xfId="0" applyFont="1" applyFill="1" applyAlignment="1">
      <alignment horizontal="left" indent="1"/>
    </xf>
    <xf numFmtId="3" fontId="3" fillId="12" borderId="8" xfId="0" applyNumberFormat="1" applyFont="1" applyFill="1" applyBorder="1" applyAlignment="1">
      <alignment horizontal="right" indent="1"/>
    </xf>
    <xf numFmtId="3" fontId="3" fillId="12" borderId="0" xfId="0" applyNumberFormat="1" applyFont="1" applyFill="1" applyAlignment="1">
      <alignment horizontal="right" indent="1"/>
    </xf>
    <xf numFmtId="3" fontId="3" fillId="12" borderId="9" xfId="0" applyNumberFormat="1" applyFont="1" applyFill="1" applyBorder="1" applyAlignment="1">
      <alignment horizontal="right" indent="1"/>
    </xf>
    <xf numFmtId="0" fontId="2" fillId="5" borderId="1" xfId="0" applyFont="1" applyFill="1" applyBorder="1"/>
    <xf numFmtId="3" fontId="4" fillId="5" borderId="1" xfId="0" applyNumberFormat="1" applyFont="1" applyFill="1" applyBorder="1"/>
    <xf numFmtId="3" fontId="4" fillId="5" borderId="6" xfId="0" applyNumberFormat="1" applyFont="1" applyFill="1" applyBorder="1"/>
    <xf numFmtId="3" fontId="4" fillId="5" borderId="7" xfId="0" applyNumberFormat="1" applyFont="1" applyFill="1" applyBorder="1"/>
    <xf numFmtId="0" fontId="0" fillId="0" borderId="0" xfId="0" quotePrefix="1"/>
    <xf numFmtId="0" fontId="0" fillId="0" borderId="8" xfId="0" applyBorder="1" applyAlignment="1">
      <alignment horizontal="left" vertical="center"/>
    </xf>
    <xf numFmtId="0" fontId="0" fillId="0" borderId="0" xfId="0" applyAlignment="1">
      <alignment horizontal="left" vertical="center"/>
    </xf>
    <xf numFmtId="3" fontId="0" fillId="9" borderId="8" xfId="0" applyNumberFormat="1" applyFill="1" applyBorder="1" applyAlignment="1">
      <alignment horizontal="right" indent="1"/>
    </xf>
    <xf numFmtId="0" fontId="3" fillId="13" borderId="8" xfId="0" applyFont="1" applyFill="1" applyBorder="1" applyAlignment="1">
      <alignment horizontal="left" indent="1"/>
    </xf>
    <xf numFmtId="0" fontId="3" fillId="13" borderId="0" xfId="0" applyFont="1" applyFill="1" applyAlignment="1">
      <alignment horizontal="left" indent="1"/>
    </xf>
    <xf numFmtId="3" fontId="3" fillId="13" borderId="8" xfId="0" applyNumberFormat="1" applyFont="1" applyFill="1" applyBorder="1" applyAlignment="1">
      <alignment horizontal="right" indent="1"/>
    </xf>
    <xf numFmtId="3" fontId="3" fillId="13" borderId="0" xfId="0" applyNumberFormat="1" applyFont="1" applyFill="1" applyAlignment="1">
      <alignment horizontal="right" indent="1"/>
    </xf>
    <xf numFmtId="3" fontId="3" fillId="13" borderId="9" xfId="0" applyNumberFormat="1" applyFont="1" applyFill="1" applyBorder="1" applyAlignment="1">
      <alignment horizontal="right" indent="1"/>
    </xf>
    <xf numFmtId="0" fontId="9" fillId="6" borderId="1" xfId="0" applyFont="1" applyFill="1" applyBorder="1"/>
    <xf numFmtId="3" fontId="4" fillId="6" borderId="1" xfId="0" applyNumberFormat="1" applyFont="1" applyFill="1" applyBorder="1"/>
    <xf numFmtId="3" fontId="4" fillId="6" borderId="6" xfId="0" applyNumberFormat="1" applyFont="1" applyFill="1" applyBorder="1"/>
    <xf numFmtId="3" fontId="4" fillId="6" borderId="7" xfId="0" applyNumberFormat="1" applyFont="1" applyFill="1" applyBorder="1"/>
    <xf numFmtId="0" fontId="10" fillId="0" borderId="8" xfId="0" applyFont="1" applyBorder="1"/>
    <xf numFmtId="0" fontId="10" fillId="0" borderId="8" xfId="0" applyFont="1" applyBorder="1" applyAlignment="1">
      <alignment horizontal="left" indent="1"/>
    </xf>
    <xf numFmtId="0" fontId="10" fillId="0" borderId="0" xfId="0" applyFont="1" applyAlignment="1">
      <alignment horizontal="left" indent="1"/>
    </xf>
    <xf numFmtId="0" fontId="0" fillId="0" borderId="0" xfId="0" applyAlignment="1">
      <alignment horizontal="right" indent="1"/>
    </xf>
    <xf numFmtId="0" fontId="3" fillId="14" borderId="8" xfId="0" applyFont="1" applyFill="1" applyBorder="1" applyAlignment="1">
      <alignment horizontal="left" indent="1"/>
    </xf>
    <xf numFmtId="0" fontId="3" fillId="14" borderId="0" xfId="0" applyFont="1" applyFill="1" applyAlignment="1">
      <alignment horizontal="left" indent="1"/>
    </xf>
    <xf numFmtId="3" fontId="3" fillId="14" borderId="8" xfId="0" applyNumberFormat="1" applyFont="1" applyFill="1" applyBorder="1" applyAlignment="1">
      <alignment horizontal="right" indent="1"/>
    </xf>
    <xf numFmtId="3" fontId="3" fillId="14" borderId="0" xfId="0" applyNumberFormat="1" applyFont="1" applyFill="1" applyAlignment="1">
      <alignment horizontal="right" indent="1"/>
    </xf>
    <xf numFmtId="3" fontId="3" fillId="14" borderId="9" xfId="0" applyNumberFormat="1" applyFont="1" applyFill="1" applyBorder="1" applyAlignment="1">
      <alignment horizontal="right" indent="1"/>
    </xf>
    <xf numFmtId="9" fontId="0" fillId="0" borderId="0" xfId="1" applyFont="1" applyBorder="1"/>
    <xf numFmtId="9" fontId="0" fillId="0" borderId="9" xfId="1" applyFont="1" applyBorder="1"/>
    <xf numFmtId="9" fontId="0" fillId="0" borderId="0" xfId="1" applyFont="1"/>
    <xf numFmtId="0" fontId="2" fillId="15" borderId="1" xfId="0" applyFont="1" applyFill="1" applyBorder="1"/>
    <xf numFmtId="0" fontId="2" fillId="15" borderId="6" xfId="0" applyFont="1" applyFill="1" applyBorder="1"/>
    <xf numFmtId="3" fontId="4" fillId="15" borderId="1" xfId="0" applyNumberFormat="1" applyFont="1" applyFill="1" applyBorder="1"/>
    <xf numFmtId="3" fontId="4" fillId="15" borderId="6" xfId="0" applyNumberFormat="1" applyFont="1" applyFill="1" applyBorder="1"/>
    <xf numFmtId="3" fontId="4" fillId="15" borderId="7" xfId="0" applyNumberFormat="1" applyFont="1" applyFill="1" applyBorder="1"/>
    <xf numFmtId="3" fontId="4" fillId="0" borderId="8" xfId="0" applyNumberFormat="1" applyFont="1" applyBorder="1"/>
    <xf numFmtId="3" fontId="4" fillId="0" borderId="0" xfId="0" applyNumberFormat="1" applyFont="1"/>
    <xf numFmtId="3" fontId="4" fillId="0" borderId="9" xfId="0" applyNumberFormat="1" applyFont="1" applyBorder="1"/>
    <xf numFmtId="0" fontId="3" fillId="16" borderId="8" xfId="0" applyFont="1" applyFill="1" applyBorder="1" applyAlignment="1">
      <alignment horizontal="left" indent="1"/>
    </xf>
    <xf numFmtId="0" fontId="3" fillId="16" borderId="0" xfId="0" applyFont="1" applyFill="1" applyAlignment="1">
      <alignment horizontal="left" indent="1"/>
    </xf>
    <xf numFmtId="3" fontId="3" fillId="16" borderId="8" xfId="0" applyNumberFormat="1" applyFont="1" applyFill="1" applyBorder="1" applyAlignment="1">
      <alignment horizontal="right" indent="1"/>
    </xf>
    <xf numFmtId="3" fontId="3" fillId="16" borderId="0" xfId="0" applyNumberFormat="1" applyFont="1" applyFill="1" applyAlignment="1">
      <alignment horizontal="right" indent="1"/>
    </xf>
    <xf numFmtId="3" fontId="3" fillId="16" borderId="9" xfId="0" applyNumberFormat="1" applyFont="1" applyFill="1" applyBorder="1" applyAlignment="1">
      <alignment horizontal="right" indent="1"/>
    </xf>
    <xf numFmtId="0" fontId="9" fillId="7" borderId="1" xfId="0" applyFont="1" applyFill="1" applyBorder="1"/>
    <xf numFmtId="3" fontId="10" fillId="7" borderId="1" xfId="0" applyNumberFormat="1" applyFont="1" applyFill="1" applyBorder="1"/>
    <xf numFmtId="3" fontId="10" fillId="7" borderId="6" xfId="0" applyNumberFormat="1" applyFont="1" applyFill="1" applyBorder="1"/>
    <xf numFmtId="3" fontId="10" fillId="7" borderId="7" xfId="0" applyNumberFormat="1" applyFont="1" applyFill="1" applyBorder="1"/>
    <xf numFmtId="3" fontId="4" fillId="7" borderId="1" xfId="0" applyNumberFormat="1" applyFont="1" applyFill="1" applyBorder="1"/>
    <xf numFmtId="3" fontId="4" fillId="7" borderId="6" xfId="0" applyNumberFormat="1" applyFont="1" applyFill="1" applyBorder="1"/>
    <xf numFmtId="3" fontId="4" fillId="7" borderId="7" xfId="0" applyNumberFormat="1" applyFont="1" applyFill="1" applyBorder="1"/>
    <xf numFmtId="0" fontId="10" fillId="0" borderId="1" xfId="0" applyFont="1" applyBorder="1"/>
    <xf numFmtId="0" fontId="10" fillId="0" borderId="6" xfId="0" applyFont="1" applyBorder="1"/>
    <xf numFmtId="3" fontId="4" fillId="0" borderId="1" xfId="0" applyNumberFormat="1" applyFont="1" applyBorder="1" applyAlignment="1">
      <alignment horizontal="right" indent="1"/>
    </xf>
    <xf numFmtId="3" fontId="4" fillId="0" borderId="6" xfId="0" applyNumberFormat="1" applyFont="1" applyBorder="1" applyAlignment="1">
      <alignment horizontal="right" indent="1"/>
    </xf>
    <xf numFmtId="3" fontId="4" fillId="0" borderId="7" xfId="0" applyNumberFormat="1" applyFont="1" applyBorder="1" applyAlignment="1">
      <alignment horizontal="right" indent="1"/>
    </xf>
    <xf numFmtId="3" fontId="4" fillId="0" borderId="8" xfId="0" applyNumberFormat="1" applyFont="1" applyBorder="1" applyAlignment="1">
      <alignment horizontal="right" indent="1"/>
    </xf>
    <xf numFmtId="3" fontId="4" fillId="0" borderId="0" xfId="0" applyNumberFormat="1" applyFont="1" applyAlignment="1">
      <alignment horizontal="right" indent="1"/>
    </xf>
    <xf numFmtId="3" fontId="4" fillId="0" borderId="9" xfId="0" applyNumberFormat="1" applyFont="1" applyBorder="1" applyAlignment="1">
      <alignment horizontal="right" indent="1"/>
    </xf>
    <xf numFmtId="3" fontId="10" fillId="0" borderId="9" xfId="0" applyNumberFormat="1" applyFont="1" applyBorder="1" applyAlignment="1">
      <alignment horizontal="right" indent="1"/>
    </xf>
    <xf numFmtId="3" fontId="10" fillId="0" borderId="0" xfId="0" applyNumberFormat="1" applyFont="1" applyAlignment="1">
      <alignment horizontal="right" vertical="center" indent="1"/>
    </xf>
    <xf numFmtId="0" fontId="0" fillId="0" borderId="3" xfId="0" applyBorder="1" applyAlignment="1">
      <alignment horizontal="left" indent="1"/>
    </xf>
    <xf numFmtId="0" fontId="0" fillId="0" borderId="4" xfId="0" applyBorder="1" applyAlignment="1">
      <alignment horizontal="left" indent="1"/>
    </xf>
    <xf numFmtId="0" fontId="2" fillId="8" borderId="1" xfId="0" applyFont="1" applyFill="1" applyBorder="1"/>
    <xf numFmtId="3" fontId="4" fillId="8" borderId="1" xfId="0" applyNumberFormat="1" applyFont="1" applyFill="1" applyBorder="1" applyAlignment="1">
      <alignment horizontal="right" indent="1"/>
    </xf>
    <xf numFmtId="3" fontId="4" fillId="8" borderId="6" xfId="0" applyNumberFormat="1" applyFont="1" applyFill="1" applyBorder="1" applyAlignment="1">
      <alignment horizontal="right" indent="1"/>
    </xf>
    <xf numFmtId="3" fontId="4" fillId="8" borderId="7" xfId="0" applyNumberFormat="1" applyFont="1" applyFill="1" applyBorder="1" applyAlignment="1">
      <alignment horizontal="right" indent="1"/>
    </xf>
    <xf numFmtId="0" fontId="12" fillId="0" borderId="0" xfId="0" applyFont="1"/>
    <xf numFmtId="0" fontId="13" fillId="0" borderId="0" xfId="0" applyFont="1"/>
    <xf numFmtId="0" fontId="3" fillId="0" borderId="10" xfId="0" applyFont="1" applyBorder="1"/>
    <xf numFmtId="0" fontId="3" fillId="0" borderId="11" xfId="0" applyFont="1" applyBorder="1"/>
    <xf numFmtId="0" fontId="3" fillId="0" borderId="12" xfId="0" applyFont="1" applyBorder="1"/>
    <xf numFmtId="0" fontId="0" fillId="0" borderId="10" xfId="0" applyBorder="1" applyAlignment="1">
      <alignment horizontal="center"/>
    </xf>
    <xf numFmtId="0" fontId="0" fillId="0" borderId="12" xfId="0" applyBorder="1" applyAlignment="1">
      <alignment horizontal="center"/>
    </xf>
    <xf numFmtId="0" fontId="0" fillId="0" borderId="1" xfId="0" applyBorder="1"/>
    <xf numFmtId="0" fontId="0" fillId="0" borderId="7" xfId="0" applyBorder="1"/>
    <xf numFmtId="3" fontId="0" fillId="0" borderId="1"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3" fontId="0" fillId="0" borderId="9" xfId="0" applyNumberFormat="1" applyBorder="1" applyAlignment="1">
      <alignment horizontal="center"/>
    </xf>
    <xf numFmtId="0" fontId="0" fillId="0" borderId="9" xfId="0" applyBorder="1" applyAlignment="1">
      <alignment horizontal="left" indent="1"/>
    </xf>
    <xf numFmtId="1" fontId="0" fillId="0" borderId="8" xfId="0" applyNumberFormat="1" applyBorder="1" applyAlignment="1">
      <alignment horizontal="center"/>
    </xf>
    <xf numFmtId="1" fontId="0" fillId="0" borderId="9" xfId="0" applyNumberFormat="1" applyBorder="1" applyAlignment="1">
      <alignment horizontal="center"/>
    </xf>
    <xf numFmtId="0" fontId="0" fillId="0" borderId="5" xfId="0" applyBorder="1" applyAlignment="1">
      <alignment horizontal="left" indent="1"/>
    </xf>
    <xf numFmtId="1" fontId="0" fillId="0" borderId="3" xfId="0" applyNumberFormat="1" applyBorder="1" applyAlignment="1">
      <alignment horizontal="center"/>
    </xf>
    <xf numFmtId="1" fontId="0" fillId="0" borderId="5" xfId="0" applyNumberFormat="1" applyBorder="1" applyAlignment="1">
      <alignment horizontal="center"/>
    </xf>
    <xf numFmtId="1" fontId="0" fillId="0" borderId="0" xfId="0" applyNumberFormat="1" applyAlignment="1">
      <alignment horizontal="center"/>
    </xf>
    <xf numFmtId="0" fontId="13" fillId="0" borderId="0" xfId="0" quotePrefix="1" applyFont="1"/>
    <xf numFmtId="9" fontId="0" fillId="0" borderId="3" xfId="1" applyFont="1" applyBorder="1" applyAlignment="1">
      <alignment horizontal="center"/>
    </xf>
    <xf numFmtId="9" fontId="0" fillId="0" borderId="5" xfId="1" applyFont="1" applyBorder="1" applyAlignment="1">
      <alignment horizontal="center"/>
    </xf>
    <xf numFmtId="0" fontId="0" fillId="0" borderId="0" xfId="0" applyAlignment="1">
      <alignment horizontal="left"/>
    </xf>
    <xf numFmtId="3" fontId="0" fillId="0" borderId="6" xfId="0" applyNumberFormat="1" applyBorder="1"/>
    <xf numFmtId="0" fontId="3" fillId="0" borderId="1" xfId="0" applyFont="1" applyBorder="1" applyAlignment="1">
      <alignment horizontal="center"/>
    </xf>
    <xf numFmtId="0" fontId="3" fillId="0" borderId="2" xfId="0" applyFont="1" applyBorder="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enat.fr/amendements/2024-2025/143/Amdt_II-1216.html" TargetMode="External"/><Relationship Id="rId2" Type="http://schemas.openxmlformats.org/officeDocument/2006/relationships/hyperlink" Target="https://www.contexte.com/medias/pdf/medias-documents/2025/1/amendements-p2-amiel-husson.pdf" TargetMode="External"/><Relationship Id="rId1" Type="http://schemas.openxmlformats.org/officeDocument/2006/relationships/hyperlink" Target="https://www.senat.fr/amendements/2024-2025/143/Amdt_II-285.html" TargetMode="External"/><Relationship Id="rId6" Type="http://schemas.openxmlformats.org/officeDocument/2006/relationships/printerSettings" Target="../printerSettings/printerSettings1.bin"/><Relationship Id="rId5" Type="http://schemas.openxmlformats.org/officeDocument/2006/relationships/hyperlink" Target="https://www.assemblee-nationale.fr/dyn/17/amendements/0873/AN/14" TargetMode="External"/><Relationship Id="rId4" Type="http://schemas.openxmlformats.org/officeDocument/2006/relationships/hyperlink" Target="https://www.contexte.com/medias/pdf/medias-documents/2025/1/amendements-p2-amiel-huss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5E75-8638-4969-9C03-D7F3536235F9}">
  <sheetPr>
    <pageSetUpPr fitToPage="1"/>
  </sheetPr>
  <dimension ref="B1:R299"/>
  <sheetViews>
    <sheetView showGridLines="0" tabSelected="1" zoomScale="85" zoomScaleNormal="85" workbookViewId="0">
      <selection activeCell="H297" sqref="H297"/>
    </sheetView>
  </sheetViews>
  <sheetFormatPr defaultColWidth="9.85546875" defaultRowHeight="15"/>
  <cols>
    <col min="3" max="6" width="17.85546875" customWidth="1"/>
    <col min="7" max="11" width="14.42578125" customWidth="1"/>
    <col min="12" max="12" width="3" customWidth="1"/>
    <col min="13" max="17" width="14.42578125" customWidth="1"/>
    <col min="18" max="18" width="3" customWidth="1"/>
  </cols>
  <sheetData>
    <row r="1" spans="3:18" ht="21">
      <c r="C1" s="1" t="s">
        <v>0</v>
      </c>
      <c r="D1" s="1"/>
      <c r="E1" s="1"/>
      <c r="F1" s="1"/>
      <c r="G1" s="224" t="s">
        <v>1</v>
      </c>
      <c r="H1" s="224"/>
      <c r="I1" s="224"/>
      <c r="J1" s="224"/>
      <c r="K1" s="225"/>
      <c r="M1" s="224" t="s">
        <v>2</v>
      </c>
      <c r="N1" s="224"/>
      <c r="O1" s="224"/>
      <c r="P1" s="224"/>
      <c r="Q1" s="225"/>
    </row>
    <row r="2" spans="3:18" ht="45">
      <c r="C2" s="6" t="s">
        <v>3</v>
      </c>
      <c r="G2" s="2" t="s">
        <v>4</v>
      </c>
      <c r="H2" s="3" t="s">
        <v>5</v>
      </c>
      <c r="I2" s="4" t="s">
        <v>6</v>
      </c>
      <c r="J2" s="3" t="s">
        <v>7</v>
      </c>
      <c r="K2" s="5" t="s">
        <v>8</v>
      </c>
      <c r="L2" s="6"/>
      <c r="M2" s="2" t="s">
        <v>4</v>
      </c>
      <c r="N2" s="3" t="s">
        <v>5</v>
      </c>
      <c r="O2" s="4" t="s">
        <v>6</v>
      </c>
      <c r="P2" s="3" t="s">
        <v>7</v>
      </c>
      <c r="Q2" s="5" t="s">
        <v>8</v>
      </c>
    </row>
    <row r="3" spans="3:18" ht="18.75">
      <c r="C3" s="7" t="s">
        <v>9</v>
      </c>
      <c r="D3" s="7"/>
      <c r="E3" s="7"/>
      <c r="F3" s="7"/>
    </row>
    <row r="4" spans="3:18">
      <c r="C4" s="8"/>
      <c r="D4" s="9"/>
      <c r="E4" s="9"/>
      <c r="F4" s="9"/>
      <c r="G4" s="224" t="s">
        <v>1</v>
      </c>
      <c r="H4" s="224"/>
      <c r="I4" s="224"/>
      <c r="J4" s="224"/>
      <c r="K4" s="225"/>
      <c r="M4" s="224" t="s">
        <v>2</v>
      </c>
      <c r="N4" s="224"/>
      <c r="O4" s="224"/>
      <c r="P4" s="224"/>
      <c r="Q4" s="225"/>
    </row>
    <row r="5" spans="3:18" ht="45">
      <c r="C5" s="10" t="s">
        <v>10</v>
      </c>
      <c r="D5" s="11"/>
      <c r="E5" s="11"/>
      <c r="F5" s="11"/>
      <c r="G5" s="2" t="s">
        <v>4</v>
      </c>
      <c r="H5" s="3" t="s">
        <v>5</v>
      </c>
      <c r="I5" s="4" t="s">
        <v>6</v>
      </c>
      <c r="J5" s="3" t="s">
        <v>7</v>
      </c>
      <c r="K5" s="5" t="s">
        <v>8</v>
      </c>
      <c r="L5" s="6"/>
      <c r="M5" s="2" t="s">
        <v>4</v>
      </c>
      <c r="N5" s="3" t="s">
        <v>5</v>
      </c>
      <c r="O5" s="4" t="s">
        <v>6</v>
      </c>
      <c r="P5" s="3" t="s">
        <v>7</v>
      </c>
      <c r="Q5" s="5" t="s">
        <v>8</v>
      </c>
    </row>
    <row r="6" spans="3:18" ht="18" customHeight="1">
      <c r="C6" s="12" t="s">
        <v>11</v>
      </c>
      <c r="D6" s="13"/>
      <c r="E6" s="13"/>
      <c r="F6" s="13"/>
      <c r="G6" s="14"/>
      <c r="H6" s="15"/>
      <c r="I6" s="15"/>
      <c r="J6" s="15"/>
      <c r="K6" s="16"/>
      <c r="M6" s="14"/>
      <c r="N6" s="15"/>
      <c r="O6" s="15"/>
      <c r="P6" s="15"/>
      <c r="Q6" s="16"/>
    </row>
    <row r="7" spans="3:18" ht="18" customHeight="1">
      <c r="C7" s="19"/>
      <c r="G7" s="17"/>
      <c r="K7" s="18"/>
      <c r="M7" s="17"/>
      <c r="Q7" s="18"/>
    </row>
    <row r="8" spans="3:18" ht="18" customHeight="1">
      <c r="C8" s="19" t="s">
        <v>12</v>
      </c>
      <c r="G8" s="20">
        <f>G46+G49+G53+G54</f>
        <v>2416.9549059999999</v>
      </c>
      <c r="H8" s="21">
        <f>H46+H49+H53+H54</f>
        <v>3735</v>
      </c>
      <c r="I8" s="21">
        <f>I46+I49+I53+I54</f>
        <v>2735</v>
      </c>
      <c r="J8" s="21">
        <f>J46+J49+J53+J54</f>
        <v>2292</v>
      </c>
      <c r="K8" s="22">
        <f>K46+K49+K53+K54</f>
        <v>2342</v>
      </c>
      <c r="L8" s="21"/>
      <c r="M8" s="20">
        <f>M46+M49+M53+M54</f>
        <v>2145.7729509999999</v>
      </c>
      <c r="N8" s="21">
        <f>N46+N49+N53+N54</f>
        <v>3103</v>
      </c>
      <c r="O8" s="21">
        <f>O46+O49+O53+O54</f>
        <v>2103</v>
      </c>
      <c r="P8" s="21">
        <f>P46+P49+P53+P54</f>
        <v>2522</v>
      </c>
      <c r="Q8" s="22">
        <f>Q46+Q49+Q53+Q54</f>
        <v>2112</v>
      </c>
      <c r="R8" s="23"/>
    </row>
    <row r="9" spans="3:18" ht="18" customHeight="1">
      <c r="C9" s="19" t="s">
        <v>13</v>
      </c>
      <c r="G9" s="20">
        <f>SUM(G55,G52,G60:G62,G65:G66)</f>
        <v>530.14940999999999</v>
      </c>
      <c r="H9" s="21">
        <f>SUM(H55,H52,H60:H62,H65:H66)</f>
        <v>922.78847999999994</v>
      </c>
      <c r="I9" s="21">
        <f>SUM(I55,I52,I60:I62,I65:I66)</f>
        <v>872.07758022255302</v>
      </c>
      <c r="J9" s="21">
        <f>SUM(J55,J52,J60:J62,J65:J66)</f>
        <v>951.95662400000003</v>
      </c>
      <c r="K9" s="22">
        <f>SUM(K55,K52,K60:K62,K65:K66)</f>
        <v>858.87389794117632</v>
      </c>
      <c r="L9" s="21"/>
      <c r="M9" s="20">
        <f>SUM(M55,M52,M60:M62,M65:M66)</f>
        <v>1313.5349310000001</v>
      </c>
      <c r="N9" s="21">
        <f>SUM(N55,N52,N60:N62,N65:N66)</f>
        <v>1163.7</v>
      </c>
      <c r="O9" s="21">
        <f>SUM(O55,O52,O60:O62,O65:O66)</f>
        <v>1122.1325385652899</v>
      </c>
      <c r="P9" s="21">
        <f>SUM(P55,P52,P60:P62,P65:P66)</f>
        <v>640.30010500000003</v>
      </c>
      <c r="Q9" s="22">
        <f>SUM(Q55,Q52,Q60:Q62,Q65:Q66)</f>
        <v>546.8617907058823</v>
      </c>
      <c r="R9" s="23"/>
    </row>
    <row r="10" spans="3:18" ht="18" customHeight="1">
      <c r="C10" s="28"/>
      <c r="D10" s="11"/>
      <c r="E10" s="11"/>
      <c r="F10" s="11"/>
      <c r="G10" s="29"/>
      <c r="H10" s="30"/>
      <c r="I10" s="30"/>
      <c r="J10" s="30"/>
      <c r="K10" s="31"/>
      <c r="L10" s="21"/>
      <c r="M10" s="29"/>
      <c r="N10" s="30"/>
      <c r="O10" s="30"/>
      <c r="P10" s="30"/>
      <c r="Q10" s="31"/>
      <c r="R10" s="23"/>
    </row>
    <row r="11" spans="3:18" ht="18" customHeight="1">
      <c r="C11" s="32" t="s">
        <v>14</v>
      </c>
      <c r="D11" s="33"/>
      <c r="E11" s="33"/>
      <c r="F11" s="33"/>
      <c r="G11" s="34"/>
      <c r="H11" s="35"/>
      <c r="I11" s="35"/>
      <c r="J11" s="35"/>
      <c r="K11" s="36"/>
      <c r="L11" s="21"/>
      <c r="M11" s="34"/>
      <c r="N11" s="35"/>
      <c r="O11" s="35"/>
      <c r="P11" s="35"/>
      <c r="Q11" s="36"/>
      <c r="R11" s="23"/>
    </row>
    <row r="12" spans="3:18" ht="18" customHeight="1">
      <c r="C12" s="19"/>
      <c r="G12" s="20"/>
      <c r="H12" s="21"/>
      <c r="I12" s="21"/>
      <c r="J12" s="21"/>
      <c r="K12" s="22"/>
      <c r="L12" s="21"/>
      <c r="M12" s="20"/>
      <c r="N12" s="21"/>
      <c r="O12" s="21"/>
      <c r="P12" s="21"/>
      <c r="Q12" s="22"/>
      <c r="R12" s="23"/>
    </row>
    <row r="13" spans="3:18" ht="18" customHeight="1">
      <c r="C13" s="19" t="s">
        <v>15</v>
      </c>
      <c r="G13" s="20">
        <f>G72+G85</f>
        <v>1715.3547099999998</v>
      </c>
      <c r="H13" s="21">
        <f>H72+H85</f>
        <v>1500.9999989999999</v>
      </c>
      <c r="I13" s="21">
        <f>I72+I85</f>
        <v>1500.9999989999999</v>
      </c>
      <c r="J13" s="21">
        <f>J72+J85</f>
        <v>970.48999200000003</v>
      </c>
      <c r="K13" s="22">
        <f>K72+K85</f>
        <v>690</v>
      </c>
      <c r="L13" s="21"/>
      <c r="M13" s="20">
        <f>M72+M85</f>
        <v>1708.06219317</v>
      </c>
      <c r="N13" s="21">
        <f>N72+N85</f>
        <v>1500.9999989999999</v>
      </c>
      <c r="O13" s="21">
        <f>O72+O85</f>
        <v>1500.9999989999999</v>
      </c>
      <c r="P13" s="21">
        <f>P72+P85</f>
        <v>970.48999200000003</v>
      </c>
      <c r="Q13" s="22">
        <f>Q72+Q85</f>
        <v>690</v>
      </c>
      <c r="R13" s="23"/>
    </row>
    <row r="14" spans="3:18" ht="18" customHeight="1">
      <c r="C14" s="19" t="s">
        <v>16</v>
      </c>
      <c r="G14" s="20">
        <f>G101</f>
        <v>4026.3745079999999</v>
      </c>
      <c r="H14" s="21">
        <f t="shared" ref="H14:Q14" si="0">H101</f>
        <v>5759.2358399999994</v>
      </c>
      <c r="I14" s="21">
        <f t="shared" si="0"/>
        <v>5502.3890454911634</v>
      </c>
      <c r="J14" s="21">
        <f t="shared" si="0"/>
        <v>5592.4907440000006</v>
      </c>
      <c r="K14" s="22">
        <f t="shared" si="0"/>
        <v>5484.2507151143336</v>
      </c>
      <c r="L14" s="21"/>
      <c r="M14" s="20">
        <f t="shared" si="0"/>
        <v>3981.9245080000001</v>
      </c>
      <c r="N14" s="21">
        <f t="shared" si="0"/>
        <v>4903.3858399999999</v>
      </c>
      <c r="O14" s="21">
        <f t="shared" si="0"/>
        <v>4705.2752179815207</v>
      </c>
      <c r="P14" s="21">
        <f t="shared" si="0"/>
        <v>4665.4907440000006</v>
      </c>
      <c r="Q14" s="22">
        <f t="shared" si="0"/>
        <v>4631.5698047840942</v>
      </c>
      <c r="R14" s="23"/>
    </row>
    <row r="15" spans="3:18" ht="18" customHeight="1">
      <c r="C15" s="19" t="s">
        <v>17</v>
      </c>
      <c r="G15" s="20">
        <f>G102</f>
        <v>1129.7</v>
      </c>
      <c r="H15" s="21">
        <f>H102</f>
        <v>1232.1553450000001</v>
      </c>
      <c r="I15" s="21">
        <f>I102</f>
        <v>1205.7585594612613</v>
      </c>
      <c r="J15" s="21">
        <f>J102</f>
        <v>378.02743599999985</v>
      </c>
      <c r="K15" s="22">
        <f>K102</f>
        <v>377.50248038737868</v>
      </c>
      <c r="L15" s="21"/>
      <c r="M15" s="20">
        <f>M102</f>
        <v>1351.524236</v>
      </c>
      <c r="N15" s="21">
        <f>N102</f>
        <v>1220.9795810000001</v>
      </c>
      <c r="O15" s="21">
        <f>O102</f>
        <v>1193.0830512936782</v>
      </c>
      <c r="P15" s="21">
        <f>P102</f>
        <v>871.19134499999996</v>
      </c>
      <c r="Q15" s="22">
        <f>Q102</f>
        <v>867.66413322736548</v>
      </c>
      <c r="R15" s="23"/>
    </row>
    <row r="16" spans="3:18" ht="18" customHeight="1">
      <c r="C16" s="28"/>
      <c r="D16" s="11"/>
      <c r="E16" s="11"/>
      <c r="F16" s="11"/>
      <c r="G16" s="29"/>
      <c r="H16" s="30"/>
      <c r="I16" s="30"/>
      <c r="J16" s="30"/>
      <c r="K16" s="31"/>
      <c r="L16" s="21"/>
      <c r="M16" s="29"/>
      <c r="N16" s="30"/>
      <c r="O16" s="30"/>
      <c r="P16" s="30"/>
      <c r="Q16" s="31"/>
      <c r="R16" s="23"/>
    </row>
    <row r="17" spans="3:18" ht="18" customHeight="1">
      <c r="C17" s="37" t="s">
        <v>18</v>
      </c>
      <c r="D17" s="38"/>
      <c r="E17" s="38"/>
      <c r="F17" s="38"/>
      <c r="G17" s="39"/>
      <c r="H17" s="40"/>
      <c r="I17" s="40"/>
      <c r="J17" s="40"/>
      <c r="K17" s="41"/>
      <c r="L17" s="21"/>
      <c r="M17" s="39"/>
      <c r="N17" s="40"/>
      <c r="O17" s="40"/>
      <c r="P17" s="40"/>
      <c r="Q17" s="41"/>
      <c r="R17" s="23"/>
    </row>
    <row r="18" spans="3:18" ht="18" customHeight="1">
      <c r="C18" s="19"/>
      <c r="G18" s="20"/>
      <c r="H18" s="21"/>
      <c r="I18" s="21"/>
      <c r="J18" s="21"/>
      <c r="K18" s="22"/>
      <c r="L18" s="21"/>
      <c r="M18" s="20"/>
      <c r="N18" s="21"/>
      <c r="O18" s="21"/>
      <c r="P18" s="21"/>
      <c r="Q18" s="22"/>
      <c r="R18" s="23"/>
    </row>
    <row r="19" spans="3:18" ht="18" customHeight="1">
      <c r="C19" s="19" t="s">
        <v>19</v>
      </c>
      <c r="G19" s="20">
        <f>G107</f>
        <v>520</v>
      </c>
      <c r="H19" s="21">
        <f>H107</f>
        <v>820</v>
      </c>
      <c r="I19" s="21">
        <f>I107</f>
        <v>820</v>
      </c>
      <c r="J19" s="21">
        <f>J107</f>
        <v>540</v>
      </c>
      <c r="K19" s="22">
        <f>K107</f>
        <v>820</v>
      </c>
      <c r="L19" s="21"/>
      <c r="M19" s="20">
        <f>M107</f>
        <v>520</v>
      </c>
      <c r="N19" s="21">
        <f>N107</f>
        <v>820</v>
      </c>
      <c r="O19" s="21">
        <f>O107</f>
        <v>820</v>
      </c>
      <c r="P19" s="21">
        <f>P107</f>
        <v>540</v>
      </c>
      <c r="Q19" s="22">
        <f t="shared" ref="Q19" si="1">Q107</f>
        <v>820</v>
      </c>
      <c r="R19" s="23"/>
    </row>
    <row r="20" spans="3:18" ht="18" customHeight="1">
      <c r="C20" s="19" t="s">
        <v>20</v>
      </c>
      <c r="G20" s="20">
        <f>SUM(G110:G111)</f>
        <v>1419.0240160000001</v>
      </c>
      <c r="H20" s="21">
        <f>SUM(H110:H111)</f>
        <v>875.50960099999998</v>
      </c>
      <c r="I20" s="21">
        <f>SUM(I110:I111)</f>
        <v>875.50960099999998</v>
      </c>
      <c r="J20" s="21">
        <f>SUM(J110:J111)</f>
        <v>5417.058164</v>
      </c>
      <c r="K20" s="22">
        <f>SUM(K110:K111)</f>
        <v>5580.058164</v>
      </c>
      <c r="L20" s="21"/>
      <c r="M20" s="20">
        <f>SUM(M110:M111)</f>
        <v>1419.0240160000001</v>
      </c>
      <c r="N20" s="21">
        <f>SUM(N110:N111)</f>
        <v>875.50960099999998</v>
      </c>
      <c r="O20" s="21">
        <f>SUM(O110:O111)</f>
        <v>875.50960099999998</v>
      </c>
      <c r="P20" s="21">
        <f>SUM(P110:P111)</f>
        <v>5417.058164</v>
      </c>
      <c r="Q20" s="22">
        <f t="shared" ref="Q20" si="2">SUM(Q110:Q111)</f>
        <v>5579.5907559999996</v>
      </c>
      <c r="R20" s="23"/>
    </row>
    <row r="21" spans="3:18" ht="18" customHeight="1">
      <c r="C21" s="28"/>
      <c r="D21" s="11"/>
      <c r="E21" s="11"/>
      <c r="F21" s="11"/>
      <c r="G21" s="42"/>
      <c r="H21" s="43"/>
      <c r="I21" s="43"/>
      <c r="J21" s="43"/>
      <c r="K21" s="44"/>
      <c r="L21" s="45"/>
      <c r="M21" s="42"/>
      <c r="N21" s="43"/>
      <c r="O21" s="43"/>
      <c r="P21" s="43"/>
      <c r="Q21" s="44"/>
    </row>
    <row r="22" spans="3:18" ht="18" customHeight="1">
      <c r="C22" s="46" t="s">
        <v>21</v>
      </c>
      <c r="D22" s="47"/>
      <c r="E22" s="47"/>
      <c r="F22" s="47"/>
      <c r="G22" s="48"/>
      <c r="H22" s="49"/>
      <c r="I22" s="49"/>
      <c r="J22" s="49"/>
      <c r="K22" s="50"/>
      <c r="L22" s="21"/>
      <c r="M22" s="48"/>
      <c r="N22" s="49"/>
      <c r="O22" s="49"/>
      <c r="P22" s="49"/>
      <c r="Q22" s="50"/>
      <c r="R22" s="23"/>
    </row>
    <row r="23" spans="3:18" ht="18" customHeight="1">
      <c r="C23" s="19"/>
      <c r="G23" s="20"/>
      <c r="H23" s="21"/>
      <c r="I23" s="21"/>
      <c r="J23" s="21"/>
      <c r="K23" s="22"/>
      <c r="L23" s="21"/>
      <c r="M23" s="20"/>
      <c r="N23" s="21"/>
      <c r="O23" s="21"/>
      <c r="P23" s="21"/>
      <c r="Q23" s="22"/>
      <c r="R23" s="23"/>
    </row>
    <row r="24" spans="3:18" ht="18" customHeight="1">
      <c r="C24" s="19" t="s">
        <v>22</v>
      </c>
      <c r="G24" s="20">
        <f>G128</f>
        <v>136</v>
      </c>
      <c r="H24" s="21">
        <f t="shared" ref="H24:Q24" si="3">H128</f>
        <v>0</v>
      </c>
      <c r="I24" s="21">
        <f t="shared" si="3"/>
        <v>0</v>
      </c>
      <c r="J24" s="21">
        <f t="shared" si="3"/>
        <v>50</v>
      </c>
      <c r="K24" s="22">
        <f t="shared" si="3"/>
        <v>1550</v>
      </c>
      <c r="L24" s="21"/>
      <c r="M24" s="20">
        <f t="shared" si="3"/>
        <v>148</v>
      </c>
      <c r="N24" s="21">
        <f t="shared" si="3"/>
        <v>313.2</v>
      </c>
      <c r="O24" s="21">
        <f t="shared" si="3"/>
        <v>251</v>
      </c>
      <c r="P24" s="21">
        <f t="shared" si="3"/>
        <v>323.04000000000002</v>
      </c>
      <c r="Q24" s="22">
        <f t="shared" si="3"/>
        <v>256.5</v>
      </c>
      <c r="R24" s="23"/>
    </row>
    <row r="25" spans="3:18" ht="18" customHeight="1">
      <c r="C25" s="19"/>
      <c r="G25" s="20"/>
      <c r="H25" s="21"/>
      <c r="I25" s="21"/>
      <c r="J25" s="21"/>
      <c r="K25" s="22"/>
      <c r="L25" s="21"/>
      <c r="M25" s="20"/>
      <c r="N25" s="21"/>
      <c r="O25" s="21"/>
      <c r="P25" s="21"/>
      <c r="Q25" s="22"/>
      <c r="R25" s="23"/>
    </row>
    <row r="26" spans="3:18" ht="18" customHeight="1">
      <c r="C26" s="51" t="s">
        <v>23</v>
      </c>
      <c r="D26" s="52"/>
      <c r="E26" s="52"/>
      <c r="F26" s="52"/>
      <c r="G26" s="53"/>
      <c r="H26" s="54"/>
      <c r="I26" s="54"/>
      <c r="J26" s="54"/>
      <c r="K26" s="55"/>
      <c r="L26" s="21"/>
      <c r="M26" s="53"/>
      <c r="N26" s="54"/>
      <c r="O26" s="54"/>
      <c r="P26" s="54"/>
      <c r="Q26" s="55"/>
      <c r="R26" s="23"/>
    </row>
    <row r="27" spans="3:18" ht="18" customHeight="1">
      <c r="C27" s="56" t="s">
        <v>24</v>
      </c>
      <c r="G27" s="20">
        <f>G132</f>
        <v>2108</v>
      </c>
      <c r="H27" s="21">
        <f t="shared" ref="H27:K27" si="4">H132</f>
        <v>3177</v>
      </c>
      <c r="I27" s="21">
        <f t="shared" si="4"/>
        <v>3177</v>
      </c>
      <c r="J27" s="21">
        <f t="shared" si="4"/>
        <v>2512</v>
      </c>
      <c r="K27" s="22">
        <f t="shared" si="4"/>
        <v>2325</v>
      </c>
      <c r="L27" s="21"/>
      <c r="M27" s="20">
        <f>M132</f>
        <v>2101</v>
      </c>
      <c r="N27" s="21">
        <f t="shared" ref="N27:Q27" si="5">N132</f>
        <v>2736</v>
      </c>
      <c r="O27" s="21">
        <f t="shared" si="5"/>
        <v>2736</v>
      </c>
      <c r="P27" s="21">
        <f t="shared" si="5"/>
        <v>2458</v>
      </c>
      <c r="Q27" s="22">
        <f t="shared" si="5"/>
        <v>2261</v>
      </c>
      <c r="R27" s="23"/>
    </row>
    <row r="28" spans="3:18" s="24" customFormat="1" ht="18" customHeight="1">
      <c r="C28" s="57" t="s">
        <v>25</v>
      </c>
      <c r="G28" s="25">
        <f>G141</f>
        <v>0</v>
      </c>
      <c r="H28" s="26">
        <f>H141</f>
        <v>522</v>
      </c>
      <c r="I28" s="26">
        <f>I141</f>
        <v>522</v>
      </c>
      <c r="J28" s="26">
        <f>J141</f>
        <v>144.6</v>
      </c>
      <c r="K28" s="27" t="s">
        <v>26</v>
      </c>
      <c r="L28" s="26"/>
      <c r="M28" s="25">
        <f>M141</f>
        <v>0</v>
      </c>
      <c r="N28" s="26">
        <f>N141</f>
        <v>235</v>
      </c>
      <c r="O28" s="26">
        <f>O141</f>
        <v>235</v>
      </c>
      <c r="P28" s="26">
        <f>P141</f>
        <v>101.6</v>
      </c>
      <c r="Q28" s="27" t="s">
        <v>26</v>
      </c>
      <c r="R28" s="58"/>
    </row>
    <row r="29" spans="3:18" s="24" customFormat="1" ht="18" customHeight="1">
      <c r="C29" s="57" t="s">
        <v>27</v>
      </c>
      <c r="G29" s="25">
        <f>G152</f>
        <v>0</v>
      </c>
      <c r="H29" s="26">
        <f>H152</f>
        <v>509</v>
      </c>
      <c r="I29" s="26">
        <f>I152</f>
        <v>509</v>
      </c>
      <c r="J29" s="26">
        <f>J152</f>
        <v>228</v>
      </c>
      <c r="K29" s="27" t="s">
        <v>26</v>
      </c>
      <c r="L29" s="26"/>
      <c r="M29" s="25">
        <f>M152</f>
        <v>0</v>
      </c>
      <c r="N29" s="26">
        <f>N152</f>
        <v>359</v>
      </c>
      <c r="O29" s="26">
        <f>O152</f>
        <v>359</v>
      </c>
      <c r="P29" s="26">
        <f>P152</f>
        <v>195</v>
      </c>
      <c r="Q29" s="27" t="s">
        <v>26</v>
      </c>
      <c r="R29" s="58"/>
    </row>
    <row r="30" spans="3:18" ht="18" customHeight="1">
      <c r="C30" s="19"/>
      <c r="G30" s="20"/>
      <c r="H30" s="21"/>
      <c r="I30" s="21"/>
      <c r="J30" s="21"/>
      <c r="K30" s="22"/>
      <c r="L30" s="21"/>
      <c r="M30" s="20"/>
      <c r="N30" s="21"/>
      <c r="O30" s="21"/>
      <c r="P30" s="21"/>
      <c r="Q30" s="22"/>
      <c r="R30" s="23"/>
    </row>
    <row r="31" spans="3:18" ht="18" customHeight="1">
      <c r="C31" s="59" t="s">
        <v>28</v>
      </c>
      <c r="D31" s="60"/>
      <c r="E31" s="60"/>
      <c r="F31" s="60"/>
      <c r="G31" s="61"/>
      <c r="H31" s="62"/>
      <c r="I31" s="62"/>
      <c r="J31" s="62"/>
      <c r="K31" s="63"/>
      <c r="L31" s="21"/>
      <c r="M31" s="64"/>
      <c r="N31" s="65"/>
      <c r="O31" s="65"/>
      <c r="P31" s="65"/>
      <c r="Q31" s="66"/>
      <c r="R31" s="23"/>
    </row>
    <row r="32" spans="3:18" ht="18" customHeight="1">
      <c r="C32" s="19"/>
      <c r="G32" s="20"/>
      <c r="H32" s="21"/>
      <c r="I32" s="21"/>
      <c r="J32" s="21"/>
      <c r="K32" s="22"/>
      <c r="L32" s="21"/>
      <c r="M32" s="20"/>
      <c r="N32" s="21"/>
      <c r="O32" s="21"/>
      <c r="P32" s="21"/>
      <c r="Q32" s="22"/>
      <c r="R32" s="23"/>
    </row>
    <row r="33" spans="3:18" ht="18" customHeight="1">
      <c r="C33" s="19" t="s">
        <v>29</v>
      </c>
      <c r="G33" s="20">
        <f>G158</f>
        <v>213.08180200000001</v>
      </c>
      <c r="H33" s="21">
        <f t="shared" ref="H33:K33" si="6">H158</f>
        <v>205</v>
      </c>
      <c r="I33" s="21">
        <f t="shared" si="6"/>
        <v>205</v>
      </c>
      <c r="J33" s="21">
        <f t="shared" si="6"/>
        <v>225</v>
      </c>
      <c r="K33" s="22" t="str">
        <f t="shared" si="6"/>
        <v>inconnu</v>
      </c>
      <c r="L33" s="21"/>
      <c r="M33" s="20">
        <f>M158</f>
        <v>199.82930300000001</v>
      </c>
      <c r="N33" s="21">
        <f t="shared" ref="N33:Q33" si="7">N158</f>
        <v>200</v>
      </c>
      <c r="O33" s="21">
        <f t="shared" si="7"/>
        <v>200</v>
      </c>
      <c r="P33" s="21">
        <f t="shared" si="7"/>
        <v>220</v>
      </c>
      <c r="Q33" s="22" t="str">
        <f t="shared" si="7"/>
        <v>inconnu</v>
      </c>
      <c r="R33" s="23"/>
    </row>
    <row r="34" spans="3:18" ht="18" customHeight="1">
      <c r="C34" s="56"/>
      <c r="D34" s="67"/>
      <c r="E34" s="67"/>
      <c r="F34" s="67"/>
      <c r="G34" s="20"/>
      <c r="H34" s="21"/>
      <c r="I34" s="21"/>
      <c r="J34" s="21"/>
      <c r="K34" s="22"/>
      <c r="L34" s="21"/>
      <c r="M34" s="20"/>
      <c r="N34" s="21"/>
      <c r="O34" s="21"/>
      <c r="P34" s="21"/>
      <c r="Q34" s="22"/>
      <c r="R34" s="23"/>
    </row>
    <row r="35" spans="3:18" ht="18" customHeight="1">
      <c r="C35" s="68" t="s">
        <v>30</v>
      </c>
      <c r="D35" s="69"/>
      <c r="E35" s="69"/>
      <c r="F35" s="69"/>
      <c r="G35" s="70"/>
      <c r="H35" s="71"/>
      <c r="I35" s="71"/>
      <c r="J35" s="71"/>
      <c r="K35" s="72"/>
      <c r="L35" s="21"/>
      <c r="M35" s="70"/>
      <c r="N35" s="71"/>
      <c r="O35" s="71"/>
      <c r="P35" s="71"/>
      <c r="Q35" s="72"/>
      <c r="R35" s="23"/>
    </row>
    <row r="36" spans="3:18" ht="18" customHeight="1">
      <c r="C36" s="19"/>
      <c r="G36" s="20"/>
      <c r="H36" s="21"/>
      <c r="I36" s="21"/>
      <c r="J36" s="21"/>
      <c r="K36" s="22"/>
      <c r="L36" s="21"/>
      <c r="M36" s="20"/>
      <c r="N36" s="21"/>
      <c r="O36" s="21"/>
      <c r="P36" s="21"/>
      <c r="Q36" s="22"/>
      <c r="R36" s="23"/>
    </row>
    <row r="37" spans="3:18" ht="18" customHeight="1">
      <c r="C37" s="19" t="s">
        <v>31</v>
      </c>
      <c r="G37" s="20">
        <f>G163</f>
        <v>1999.433123</v>
      </c>
      <c r="H37" s="21">
        <f t="shared" ref="H37:Q37" si="8">H163</f>
        <v>2499</v>
      </c>
      <c r="I37" s="21">
        <f t="shared" si="8"/>
        <v>1999</v>
      </c>
      <c r="J37" s="21">
        <f t="shared" si="8"/>
        <v>1000</v>
      </c>
      <c r="K37" s="22">
        <f t="shared" si="8"/>
        <v>1150</v>
      </c>
      <c r="L37" s="21"/>
      <c r="M37" s="20">
        <f t="shared" si="8"/>
        <v>301.66957200000002</v>
      </c>
      <c r="N37" s="21">
        <f t="shared" si="8"/>
        <v>1124</v>
      </c>
      <c r="O37" s="21">
        <f t="shared" si="8"/>
        <v>694</v>
      </c>
      <c r="P37" s="21">
        <f t="shared" si="8"/>
        <v>1142.9168320000001</v>
      </c>
      <c r="Q37" s="22">
        <f t="shared" si="8"/>
        <v>1124</v>
      </c>
      <c r="R37" s="23"/>
    </row>
    <row r="38" spans="3:18" ht="18" customHeight="1">
      <c r="C38" s="73"/>
      <c r="D38" s="74"/>
      <c r="E38" s="74"/>
      <c r="F38" s="74"/>
      <c r="G38" s="75"/>
      <c r="H38" s="76"/>
      <c r="I38" s="76"/>
      <c r="J38" s="76"/>
      <c r="K38" s="77"/>
      <c r="L38" s="78"/>
      <c r="M38" s="75"/>
      <c r="N38" s="76"/>
      <c r="O38" s="76"/>
      <c r="P38" s="76"/>
      <c r="Q38" s="77"/>
      <c r="R38" s="23"/>
    </row>
    <row r="39" spans="3:18">
      <c r="C39" s="80"/>
      <c r="M39" s="80"/>
      <c r="N39" s="80"/>
      <c r="O39" s="80"/>
      <c r="P39" s="80"/>
      <c r="Q39" s="80"/>
    </row>
    <row r="41" spans="3:18" ht="18.75">
      <c r="C41" s="7" t="s">
        <v>32</v>
      </c>
      <c r="D41" s="81"/>
      <c r="E41" s="81"/>
      <c r="F41" s="81"/>
    </row>
    <row r="42" spans="3:18">
      <c r="C42" s="82" t="s">
        <v>33</v>
      </c>
      <c r="D42" s="9"/>
      <c r="E42" s="9"/>
      <c r="F42" s="83"/>
      <c r="G42" s="224" t="s">
        <v>1</v>
      </c>
      <c r="H42" s="224"/>
      <c r="I42" s="224"/>
      <c r="J42" s="224"/>
      <c r="K42" s="225"/>
      <c r="M42" s="224" t="s">
        <v>2</v>
      </c>
      <c r="N42" s="224"/>
      <c r="O42" s="224"/>
      <c r="P42" s="224"/>
      <c r="Q42" s="225"/>
    </row>
    <row r="43" spans="3:18" ht="45">
      <c r="C43" s="10"/>
      <c r="D43" s="11"/>
      <c r="E43" s="11"/>
      <c r="F43" s="79"/>
      <c r="G43" s="2" t="s">
        <v>4</v>
      </c>
      <c r="H43" s="3" t="s">
        <v>5</v>
      </c>
      <c r="I43" s="4" t="s">
        <v>6</v>
      </c>
      <c r="J43" s="3" t="s">
        <v>7</v>
      </c>
      <c r="K43" s="5" t="s">
        <v>8</v>
      </c>
      <c r="L43" s="6"/>
      <c r="M43" s="2" t="s">
        <v>4</v>
      </c>
      <c r="N43" s="3" t="s">
        <v>5</v>
      </c>
      <c r="O43" s="4" t="s">
        <v>6</v>
      </c>
      <c r="P43" s="3" t="s">
        <v>7</v>
      </c>
      <c r="Q43" s="5" t="s">
        <v>8</v>
      </c>
    </row>
    <row r="44" spans="3:18">
      <c r="C44" s="84" t="s">
        <v>11</v>
      </c>
      <c r="D44" s="85"/>
      <c r="E44" s="85"/>
      <c r="F44" s="85"/>
      <c r="G44" s="86"/>
      <c r="H44" s="87"/>
      <c r="I44" s="87"/>
      <c r="J44" s="87"/>
      <c r="K44" s="88"/>
      <c r="M44" s="86"/>
      <c r="N44" s="87"/>
      <c r="O44" s="87"/>
      <c r="P44" s="87"/>
      <c r="Q44" s="88"/>
    </row>
    <row r="45" spans="3:18">
      <c r="C45" s="17" t="s">
        <v>34</v>
      </c>
      <c r="G45" s="89"/>
      <c r="H45" s="23"/>
      <c r="I45" s="23"/>
      <c r="J45" s="23"/>
      <c r="K45" s="90"/>
      <c r="L45" s="23"/>
      <c r="M45" s="89"/>
      <c r="N45" s="23"/>
      <c r="O45" s="23"/>
      <c r="P45" s="23"/>
      <c r="Q45" s="90"/>
      <c r="R45" s="23"/>
    </row>
    <row r="46" spans="3:18">
      <c r="C46" s="92" t="s">
        <v>35</v>
      </c>
      <c r="D46" s="93"/>
      <c r="E46" s="93"/>
      <c r="F46" s="93"/>
      <c r="G46" s="94">
        <v>389</v>
      </c>
      <c r="H46" s="78">
        <v>1038</v>
      </c>
      <c r="I46" s="78">
        <v>738</v>
      </c>
      <c r="J46" s="78">
        <v>2292</v>
      </c>
      <c r="K46" s="95">
        <f>J46+50</f>
        <v>2342</v>
      </c>
      <c r="L46" s="78"/>
      <c r="M46" s="94">
        <v>389</v>
      </c>
      <c r="N46" s="78">
        <v>1038</v>
      </c>
      <c r="O46" s="78">
        <v>738</v>
      </c>
      <c r="P46" s="78">
        <v>2522</v>
      </c>
      <c r="Q46" s="95">
        <f>P46+50-460</f>
        <v>2112</v>
      </c>
      <c r="R46" s="23"/>
    </row>
    <row r="47" spans="3:18">
      <c r="C47" s="92"/>
      <c r="D47" s="93"/>
      <c r="E47" s="93"/>
      <c r="F47" s="93"/>
      <c r="G47" s="94"/>
      <c r="H47" s="78"/>
      <c r="I47" s="78"/>
      <c r="J47" s="78"/>
      <c r="K47" s="95"/>
      <c r="L47" s="78"/>
      <c r="M47" s="94"/>
      <c r="N47" s="78"/>
      <c r="O47" s="78"/>
      <c r="P47" s="78"/>
      <c r="Q47" s="95"/>
      <c r="R47" s="23"/>
    </row>
    <row r="48" spans="3:18">
      <c r="C48" s="17" t="s">
        <v>36</v>
      </c>
      <c r="G48" s="94"/>
      <c r="H48" s="78"/>
      <c r="I48" s="78"/>
      <c r="J48" s="78"/>
      <c r="K48" s="95"/>
      <c r="L48" s="78"/>
      <c r="M48" s="94"/>
      <c r="N48" s="78"/>
      <c r="O48" s="78"/>
      <c r="P48" s="78"/>
      <c r="Q48" s="95"/>
      <c r="R48" s="23"/>
    </row>
    <row r="49" spans="3:18">
      <c r="C49" s="98" t="s">
        <v>35</v>
      </c>
      <c r="D49" s="99"/>
      <c r="E49" s="99"/>
      <c r="F49" s="99"/>
      <c r="G49" s="94">
        <v>2027.9549059999999</v>
      </c>
      <c r="H49" s="78">
        <v>2697</v>
      </c>
      <c r="I49" s="78">
        <v>1997</v>
      </c>
      <c r="J49" s="78">
        <v>0</v>
      </c>
      <c r="K49" s="95">
        <f>J49</f>
        <v>0</v>
      </c>
      <c r="L49" s="78"/>
      <c r="M49" s="94">
        <v>1216.5729510000001</v>
      </c>
      <c r="N49" s="78">
        <v>2065</v>
      </c>
      <c r="O49" s="78">
        <v>1365</v>
      </c>
      <c r="P49" s="78">
        <v>0</v>
      </c>
      <c r="Q49" s="95">
        <f>P49</f>
        <v>0</v>
      </c>
      <c r="R49" s="23"/>
    </row>
    <row r="50" spans="3:18">
      <c r="C50" s="100"/>
      <c r="D50" s="101"/>
      <c r="E50" s="101"/>
      <c r="F50" s="101"/>
      <c r="G50" s="102"/>
      <c r="H50" s="103"/>
      <c r="I50" s="103"/>
      <c r="J50" s="103"/>
      <c r="K50" s="95"/>
      <c r="L50" s="78"/>
      <c r="M50" s="102"/>
      <c r="N50" s="103"/>
      <c r="O50" s="78"/>
      <c r="P50" s="103"/>
      <c r="Q50" s="95"/>
      <c r="R50" s="23"/>
    </row>
    <row r="51" spans="3:18">
      <c r="C51" s="17" t="s">
        <v>37</v>
      </c>
      <c r="G51" s="94"/>
      <c r="H51" s="78"/>
      <c r="I51" s="78"/>
      <c r="J51" s="78"/>
      <c r="K51" s="95"/>
      <c r="L51" s="78"/>
      <c r="M51" s="94"/>
      <c r="N51" s="78"/>
      <c r="O51" s="78"/>
      <c r="P51" s="78"/>
      <c r="Q51" s="95"/>
      <c r="R51" s="23"/>
    </row>
    <row r="52" spans="3:18">
      <c r="C52" s="98" t="s">
        <v>38</v>
      </c>
      <c r="D52" s="99"/>
      <c r="E52" s="99"/>
      <c r="F52" s="99"/>
      <c r="G52" s="94">
        <v>21.7</v>
      </c>
      <c r="H52" s="78">
        <v>0</v>
      </c>
      <c r="I52" s="78">
        <v>0</v>
      </c>
      <c r="J52" s="78">
        <v>0</v>
      </c>
      <c r="K52" s="95">
        <f>J52</f>
        <v>0</v>
      </c>
      <c r="L52" s="78"/>
      <c r="M52" s="94">
        <v>743.5</v>
      </c>
      <c r="N52" s="78">
        <v>373.9</v>
      </c>
      <c r="O52" s="78">
        <v>373.9</v>
      </c>
      <c r="P52" s="78">
        <v>0</v>
      </c>
      <c r="Q52" s="95">
        <f>P52</f>
        <v>0</v>
      </c>
      <c r="R52" s="23"/>
    </row>
    <row r="53" spans="3:18">
      <c r="C53" s="98" t="s">
        <v>35</v>
      </c>
      <c r="D53" s="99"/>
      <c r="E53" s="99"/>
      <c r="F53" s="99"/>
      <c r="G53" s="94">
        <v>0</v>
      </c>
      <c r="H53" s="78">
        <v>0</v>
      </c>
      <c r="I53" s="78">
        <v>0</v>
      </c>
      <c r="J53" s="78">
        <v>0</v>
      </c>
      <c r="K53" s="95">
        <f t="shared" ref="K53:K55" si="9">J53</f>
        <v>0</v>
      </c>
      <c r="L53" s="78"/>
      <c r="M53" s="94">
        <v>287.10000000000002</v>
      </c>
      <c r="N53" s="78">
        <v>0</v>
      </c>
      <c r="O53" s="78">
        <v>0</v>
      </c>
      <c r="P53" s="78">
        <v>0</v>
      </c>
      <c r="Q53" s="95">
        <f t="shared" ref="Q53:Q55" si="10">P53</f>
        <v>0</v>
      </c>
      <c r="R53" s="23"/>
    </row>
    <row r="54" spans="3:18">
      <c r="C54" s="98" t="s">
        <v>39</v>
      </c>
      <c r="D54" s="99"/>
      <c r="E54" s="99"/>
      <c r="F54" s="99"/>
      <c r="G54" s="94">
        <v>0</v>
      </c>
      <c r="H54" s="78">
        <v>0</v>
      </c>
      <c r="I54" s="78">
        <v>0</v>
      </c>
      <c r="J54" s="78">
        <v>0</v>
      </c>
      <c r="K54" s="95">
        <f t="shared" si="9"/>
        <v>0</v>
      </c>
      <c r="L54" s="78"/>
      <c r="M54" s="94">
        <v>253.1</v>
      </c>
      <c r="N54" s="78">
        <v>0</v>
      </c>
      <c r="O54" s="78">
        <v>0</v>
      </c>
      <c r="P54" s="78">
        <v>0</v>
      </c>
      <c r="Q54" s="95">
        <f t="shared" si="10"/>
        <v>0</v>
      </c>
      <c r="R54" s="23"/>
    </row>
    <row r="55" spans="3:18">
      <c r="C55" s="98" t="s">
        <v>40</v>
      </c>
      <c r="D55" s="99"/>
      <c r="E55" s="99"/>
      <c r="F55" s="99"/>
      <c r="G55" s="94">
        <v>0</v>
      </c>
      <c r="H55" s="78">
        <v>0</v>
      </c>
      <c r="I55" s="78">
        <v>0</v>
      </c>
      <c r="J55" s="78">
        <v>0</v>
      </c>
      <c r="K55" s="95">
        <f t="shared" si="9"/>
        <v>0</v>
      </c>
      <c r="L55" s="78"/>
      <c r="M55" s="94">
        <v>18.22</v>
      </c>
      <c r="N55" s="78">
        <v>12.8</v>
      </c>
      <c r="O55" s="78">
        <v>12.8</v>
      </c>
      <c r="P55" s="78">
        <v>0</v>
      </c>
      <c r="Q55" s="95">
        <f t="shared" si="10"/>
        <v>0</v>
      </c>
      <c r="R55" s="23"/>
    </row>
    <row r="56" spans="3:18">
      <c r="C56" s="98"/>
      <c r="D56" s="99"/>
      <c r="E56" s="99"/>
      <c r="F56" s="99"/>
      <c r="G56" s="94"/>
      <c r="H56" s="78"/>
      <c r="I56" s="78"/>
      <c r="J56" s="78"/>
      <c r="K56" s="95"/>
      <c r="L56" s="78"/>
      <c r="M56" s="94"/>
      <c r="N56" s="78"/>
      <c r="O56" s="78"/>
      <c r="P56" s="78"/>
      <c r="Q56" s="95"/>
      <c r="R56" s="23"/>
    </row>
    <row r="57" spans="3:18">
      <c r="C57" s="104" t="s">
        <v>41</v>
      </c>
      <c r="D57" s="105"/>
      <c r="E57" s="105"/>
      <c r="F57" s="105"/>
      <c r="G57" s="106">
        <f>SUM(G46,G49,G53,G54)</f>
        <v>2416.9549059999999</v>
      </c>
      <c r="H57" s="107">
        <f>SUM(H46,H49,H53,H54)</f>
        <v>3735</v>
      </c>
      <c r="I57" s="107">
        <f>SUM(I46,I49,I53,I54)</f>
        <v>2735</v>
      </c>
      <c r="J57" s="107">
        <f>SUM(J46,J49,J53,J54)</f>
        <v>2292</v>
      </c>
      <c r="K57" s="108">
        <f>SUM(K46,K49,K53,K54)</f>
        <v>2342</v>
      </c>
      <c r="L57" s="78"/>
      <c r="M57" s="106">
        <f>SUM(M46,M49,M53,M54)</f>
        <v>2145.7729509999999</v>
      </c>
      <c r="N57" s="107">
        <f>SUM(N46,N49,N53,N54)</f>
        <v>3103</v>
      </c>
      <c r="O57" s="107">
        <f>SUM(O46,O49,O53,O54)</f>
        <v>2103</v>
      </c>
      <c r="P57" s="107">
        <f>SUM(P46,P49,P53,P54)</f>
        <v>2522</v>
      </c>
      <c r="Q57" s="108">
        <f>SUM(Q46,Q49,Q53,Q54)</f>
        <v>2112</v>
      </c>
      <c r="R57" s="23"/>
    </row>
    <row r="58" spans="3:18">
      <c r="C58" s="98"/>
      <c r="D58" s="99"/>
      <c r="E58" s="99"/>
      <c r="F58" s="99"/>
      <c r="G58" s="89"/>
      <c r="H58" s="23"/>
      <c r="I58" s="23"/>
      <c r="J58" s="23"/>
      <c r="K58" s="90"/>
      <c r="L58" s="23"/>
      <c r="M58" s="89"/>
      <c r="N58" s="23"/>
      <c r="O58" s="23"/>
      <c r="P58" s="23"/>
      <c r="Q58" s="90"/>
      <c r="R58" s="23"/>
    </row>
    <row r="59" spans="3:18">
      <c r="C59" s="17" t="s">
        <v>42</v>
      </c>
      <c r="G59" s="89"/>
      <c r="H59" s="23"/>
      <c r="I59" s="23"/>
      <c r="J59" s="23"/>
      <c r="K59" s="90"/>
      <c r="L59" s="23"/>
      <c r="M59" s="89"/>
      <c r="N59" s="23"/>
      <c r="O59" s="23"/>
      <c r="P59" s="23"/>
      <c r="Q59" s="90"/>
      <c r="R59" s="23"/>
    </row>
    <row r="60" spans="3:18">
      <c r="C60" s="98" t="s">
        <v>43</v>
      </c>
      <c r="D60" s="99"/>
      <c r="E60" s="99"/>
      <c r="F60" s="99"/>
      <c r="G60" s="94">
        <v>6.3216570000000001</v>
      </c>
      <c r="H60" s="78">
        <v>36</v>
      </c>
      <c r="I60" s="109">
        <f>H60-G195</f>
        <v>33.173079965768217</v>
      </c>
      <c r="J60" s="78">
        <v>7</v>
      </c>
      <c r="K60" s="96">
        <f>J60*(1+$G$206)</f>
        <v>6.3751442122301469</v>
      </c>
      <c r="L60" s="78"/>
      <c r="M60" s="94">
        <v>12.288392999999999</v>
      </c>
      <c r="N60" s="110">
        <v>21</v>
      </c>
      <c r="O60" s="109">
        <f>N60-H195</f>
        <v>19.250667955653476</v>
      </c>
      <c r="P60" s="110">
        <v>24.452183999999999</v>
      </c>
      <c r="Q60" s="96">
        <f>P60*(1+$H$206)</f>
        <v>20.363242594549853</v>
      </c>
      <c r="R60" s="23"/>
    </row>
    <row r="61" spans="3:18">
      <c r="C61" s="98" t="s">
        <v>44</v>
      </c>
      <c r="D61" s="99"/>
      <c r="E61" s="99"/>
      <c r="F61" s="99"/>
      <c r="G61" s="94">
        <v>208.453408</v>
      </c>
      <c r="H61" s="78">
        <v>313.28847999999999</v>
      </c>
      <c r="I61" s="109">
        <f>H61-G196</f>
        <v>288.68732776094379</v>
      </c>
      <c r="J61" s="78">
        <v>646.45662400000003</v>
      </c>
      <c r="K61" s="96">
        <f>J61*(1+$G$206)</f>
        <v>588.75060070734867</v>
      </c>
      <c r="L61" s="78"/>
      <c r="M61" s="94">
        <v>145.14248000000001</v>
      </c>
      <c r="N61" s="110">
        <v>228</v>
      </c>
      <c r="O61" s="109">
        <f>N61-H196</f>
        <v>209.00725208995203</v>
      </c>
      <c r="P61" s="110">
        <v>281.100618</v>
      </c>
      <c r="Q61" s="96">
        <f>P61*(1+$H$206)</f>
        <v>234.09443008493176</v>
      </c>
      <c r="R61" s="23"/>
    </row>
    <row r="62" spans="3:18">
      <c r="C62" s="98" t="s">
        <v>45</v>
      </c>
      <c r="D62" s="99"/>
      <c r="E62" s="99"/>
      <c r="F62" s="99"/>
      <c r="G62" s="94">
        <v>0</v>
      </c>
      <c r="H62" s="78">
        <v>296.5</v>
      </c>
      <c r="I62" s="109">
        <f>H62-G197</f>
        <v>273.217172495841</v>
      </c>
      <c r="J62" s="78">
        <v>21.5</v>
      </c>
      <c r="K62" s="96">
        <f>J62*(1+$G$206)</f>
        <v>19.580800080421167</v>
      </c>
      <c r="L62" s="78"/>
      <c r="M62" s="94">
        <v>0</v>
      </c>
      <c r="N62" s="110">
        <v>250</v>
      </c>
      <c r="O62" s="109">
        <f>N62-H197</f>
        <v>229.17461851968423</v>
      </c>
      <c r="P62" s="110">
        <v>54.747303000000002</v>
      </c>
      <c r="Q62" s="96">
        <f>P62*(1+$H$206)</f>
        <v>45.592353320518406</v>
      </c>
      <c r="R62" s="23"/>
    </row>
    <row r="63" spans="3:18">
      <c r="C63" s="98"/>
      <c r="D63" s="99"/>
      <c r="E63" s="99"/>
      <c r="F63" s="99"/>
      <c r="G63" s="94"/>
      <c r="H63" s="78"/>
      <c r="I63" s="78"/>
      <c r="J63" s="78"/>
      <c r="K63" s="95"/>
      <c r="L63" s="78"/>
      <c r="M63" s="94"/>
      <c r="N63" s="78"/>
      <c r="O63" s="78"/>
      <c r="P63" s="78"/>
      <c r="Q63" s="95"/>
      <c r="R63" s="23"/>
    </row>
    <row r="64" spans="3:18">
      <c r="C64" s="17" t="s">
        <v>46</v>
      </c>
      <c r="G64" s="94"/>
      <c r="H64" s="78"/>
      <c r="I64" s="78"/>
      <c r="J64" s="78"/>
      <c r="K64" s="95"/>
      <c r="L64" s="78"/>
      <c r="M64" s="94"/>
      <c r="N64" s="78"/>
      <c r="O64" s="78"/>
      <c r="P64" s="78"/>
      <c r="Q64" s="95"/>
      <c r="R64" s="23"/>
    </row>
    <row r="65" spans="3:18">
      <c r="C65" s="98" t="s">
        <v>47</v>
      </c>
      <c r="D65" s="99"/>
      <c r="E65" s="99"/>
      <c r="F65" s="99"/>
      <c r="G65" s="94">
        <v>211.089</v>
      </c>
      <c r="H65" s="78">
        <v>140</v>
      </c>
      <c r="I65" s="109">
        <f>H65</f>
        <v>140</v>
      </c>
      <c r="J65" s="78">
        <v>140</v>
      </c>
      <c r="K65" s="96">
        <f>J65*(1+$G$212)</f>
        <v>123.40588235294118</v>
      </c>
      <c r="L65" s="78"/>
      <c r="M65" s="94">
        <v>247.42095699999999</v>
      </c>
      <c r="N65" s="110">
        <v>140</v>
      </c>
      <c r="O65" s="109">
        <f t="shared" ref="O65:O66" si="11">N65</f>
        <v>140</v>
      </c>
      <c r="P65" s="110">
        <v>140</v>
      </c>
      <c r="Q65" s="96">
        <f>P65*(1+$H$212)</f>
        <v>123.40588235294118</v>
      </c>
      <c r="R65" s="23"/>
    </row>
    <row r="66" spans="3:18">
      <c r="C66" s="98" t="s">
        <v>48</v>
      </c>
      <c r="D66" s="99"/>
      <c r="E66" s="99"/>
      <c r="F66" s="99"/>
      <c r="G66" s="94">
        <v>82.585345000000004</v>
      </c>
      <c r="H66" s="78">
        <v>137</v>
      </c>
      <c r="I66" s="109">
        <f>H66</f>
        <v>137</v>
      </c>
      <c r="J66" s="78">
        <v>137</v>
      </c>
      <c r="K66" s="96">
        <f>J66*(1+$G$212)</f>
        <v>120.7614705882353</v>
      </c>
      <c r="L66" s="78"/>
      <c r="M66" s="94">
        <v>146.96310099999999</v>
      </c>
      <c r="N66" s="110">
        <v>138</v>
      </c>
      <c r="O66" s="109">
        <f t="shared" si="11"/>
        <v>138</v>
      </c>
      <c r="P66" s="110">
        <v>140</v>
      </c>
      <c r="Q66" s="96">
        <f>P66*(1+$H$212)</f>
        <v>123.40588235294118</v>
      </c>
      <c r="R66" s="23"/>
    </row>
    <row r="67" spans="3:18">
      <c r="C67" s="100"/>
      <c r="D67" s="101"/>
      <c r="E67" s="101"/>
      <c r="F67" s="101"/>
      <c r="G67" s="94"/>
      <c r="H67" s="78"/>
      <c r="I67" s="78"/>
      <c r="J67" s="78"/>
      <c r="K67" s="95"/>
      <c r="L67" s="78"/>
      <c r="M67" s="94"/>
      <c r="N67" s="78"/>
      <c r="O67" s="78"/>
      <c r="P67" s="78"/>
      <c r="Q67" s="95"/>
      <c r="R67" s="23"/>
    </row>
    <row r="68" spans="3:18">
      <c r="C68" s="104" t="s">
        <v>49</v>
      </c>
      <c r="D68" s="105"/>
      <c r="E68" s="105"/>
      <c r="F68" s="105"/>
      <c r="G68" s="106">
        <f>SUM(G60:G62,G52,G55,G65:G66)</f>
        <v>530.14940999999999</v>
      </c>
      <c r="H68" s="107">
        <f>SUM(H60:H62,H52,H55,H65:H66)</f>
        <v>922.78847999999994</v>
      </c>
      <c r="I68" s="107">
        <f>SUM(I60:I62,I52,I55,I65:I66)</f>
        <v>872.07758022255302</v>
      </c>
      <c r="J68" s="107">
        <f>SUM(J60:J62,J52,J55,J65:J66)</f>
        <v>951.95662400000003</v>
      </c>
      <c r="K68" s="108">
        <f>SUM(K60:K62,K52,K55,K65:K66)</f>
        <v>858.87389794117632</v>
      </c>
      <c r="L68" s="78"/>
      <c r="M68" s="106">
        <f>SUM(M60:M62,M52,M55,M65:M66)</f>
        <v>1313.5349310000001</v>
      </c>
      <c r="N68" s="107">
        <f>SUM(N60:N62,N52,N55,N65:N66)</f>
        <v>1163.6999999999998</v>
      </c>
      <c r="O68" s="107">
        <f>SUM(O60:O62,O52,O55,O65:O66)</f>
        <v>1122.1325385652897</v>
      </c>
      <c r="P68" s="107">
        <f>SUM(P60:P62,P52,P55,P65:P66)</f>
        <v>640.30010500000003</v>
      </c>
      <c r="Q68" s="108">
        <f>SUM(Q60:Q62,Q52,Q55,Q65:Q66)</f>
        <v>546.8617907058823</v>
      </c>
      <c r="R68" s="23"/>
    </row>
    <row r="69" spans="3:18">
      <c r="C69" s="10"/>
      <c r="D69" s="11"/>
      <c r="E69" s="11"/>
      <c r="F69" s="11"/>
      <c r="G69" s="111"/>
      <c r="H69" s="112"/>
      <c r="I69" s="112"/>
      <c r="J69" s="112"/>
      <c r="K69" s="113"/>
      <c r="L69" s="23"/>
      <c r="M69" s="111"/>
      <c r="N69" s="112"/>
      <c r="O69" s="112"/>
      <c r="P69" s="112"/>
      <c r="Q69" s="113"/>
      <c r="R69" s="23"/>
    </row>
    <row r="70" spans="3:18">
      <c r="C70" s="114" t="s">
        <v>14</v>
      </c>
      <c r="D70" s="115"/>
      <c r="E70" s="115"/>
      <c r="F70" s="115"/>
      <c r="G70" s="116"/>
      <c r="H70" s="117"/>
      <c r="I70" s="117"/>
      <c r="J70" s="117"/>
      <c r="K70" s="118"/>
      <c r="L70" s="23"/>
      <c r="M70" s="116"/>
      <c r="N70" s="117"/>
      <c r="O70" s="117"/>
      <c r="P70" s="117"/>
      <c r="Q70" s="118"/>
      <c r="R70" s="23"/>
    </row>
    <row r="71" spans="3:18">
      <c r="C71" s="17" t="s">
        <v>36</v>
      </c>
      <c r="G71" s="94"/>
      <c r="H71" s="78"/>
      <c r="I71" s="78"/>
      <c r="J71" s="78"/>
      <c r="K71" s="95"/>
      <c r="L71" s="78"/>
      <c r="M71" s="94"/>
      <c r="N71" s="78"/>
      <c r="O71" s="78"/>
      <c r="P71" s="78"/>
      <c r="Q71" s="95"/>
      <c r="R71" s="23"/>
    </row>
    <row r="72" spans="3:18">
      <c r="C72" s="98" t="s">
        <v>15</v>
      </c>
      <c r="D72" s="99"/>
      <c r="E72" s="99"/>
      <c r="F72" s="99"/>
      <c r="G72" s="94">
        <v>1715.7547099999999</v>
      </c>
      <c r="H72" s="78">
        <v>1500.9999989999999</v>
      </c>
      <c r="I72" s="78">
        <v>1500.9999989999999</v>
      </c>
      <c r="J72" s="78">
        <v>970.48999200000003</v>
      </c>
      <c r="K72" s="95">
        <v>690</v>
      </c>
      <c r="L72" s="78"/>
      <c r="M72" s="94">
        <v>1697.56219317</v>
      </c>
      <c r="N72" s="78">
        <v>1500.9999989999999</v>
      </c>
      <c r="O72" s="78">
        <v>1500.9999989999999</v>
      </c>
      <c r="P72" s="78">
        <v>970.48999200000003</v>
      </c>
      <c r="Q72" s="95">
        <v>690</v>
      </c>
      <c r="R72" s="23"/>
    </row>
    <row r="73" spans="3:18">
      <c r="C73" s="98"/>
      <c r="D73" s="99"/>
      <c r="E73" s="99"/>
      <c r="F73" s="99"/>
      <c r="G73" s="94"/>
      <c r="H73" s="78"/>
      <c r="I73" s="78"/>
      <c r="J73" s="78"/>
      <c r="K73" s="95"/>
      <c r="L73" s="78"/>
      <c r="M73" s="94"/>
      <c r="N73" s="78"/>
      <c r="O73" s="78"/>
      <c r="P73" s="78"/>
      <c r="Q73" s="95"/>
      <c r="R73" s="23"/>
    </row>
    <row r="74" spans="3:18">
      <c r="C74" s="17" t="s">
        <v>50</v>
      </c>
      <c r="G74" s="94"/>
      <c r="H74" s="78"/>
      <c r="I74" s="78"/>
      <c r="J74" s="78"/>
      <c r="K74" s="95"/>
      <c r="L74" s="78"/>
      <c r="M74" s="94"/>
      <c r="N74" s="78"/>
      <c r="O74" s="78"/>
      <c r="P74" s="78"/>
      <c r="Q74" s="95"/>
      <c r="R74" s="23"/>
    </row>
    <row r="75" spans="3:18">
      <c r="C75" s="98" t="s">
        <v>51</v>
      </c>
      <c r="D75" s="99"/>
      <c r="E75" s="99"/>
      <c r="F75" s="99"/>
      <c r="G75" s="94">
        <v>2708.3745079999999</v>
      </c>
      <c r="H75" s="78">
        <v>2965.2358399999998</v>
      </c>
      <c r="I75" s="78">
        <f>H75-G246</f>
        <v>2732.3890454911634</v>
      </c>
      <c r="J75" s="78">
        <v>3098.4907440000002</v>
      </c>
      <c r="K75" s="96">
        <f>J75*(1+$G$255)</f>
        <v>2990.2507151143336</v>
      </c>
      <c r="L75" s="78"/>
      <c r="M75" s="94">
        <v>2704.9245080000001</v>
      </c>
      <c r="N75" s="78">
        <f>2966.38584</f>
        <v>2966.3858399999999</v>
      </c>
      <c r="O75" s="78">
        <f>N75-H246</f>
        <v>2740.2752179815207</v>
      </c>
      <c r="P75" s="78">
        <v>3098.4907440000002</v>
      </c>
      <c r="Q75" s="96">
        <f>P75*(1+$H$255)</f>
        <v>3064.5698047840947</v>
      </c>
      <c r="R75" s="23"/>
    </row>
    <row r="76" spans="3:18">
      <c r="C76" s="98" t="s">
        <v>52</v>
      </c>
      <c r="D76" s="99"/>
      <c r="E76" s="99"/>
      <c r="F76" s="99"/>
      <c r="G76" s="94">
        <v>253.67388299999999</v>
      </c>
      <c r="H76" s="78">
        <v>255.173879</v>
      </c>
      <c r="I76" s="78">
        <f>H76-G247</f>
        <v>235.13620814561841</v>
      </c>
      <c r="J76" s="78">
        <f>255.619633</f>
        <v>255.61963299999999</v>
      </c>
      <c r="K76" s="96">
        <f>J76*(1+$G$255)</f>
        <v>246.69003509390939</v>
      </c>
      <c r="L76" s="78"/>
      <c r="M76" s="94">
        <v>253.67388299999999</v>
      </c>
      <c r="N76" s="78">
        <f>255.173879</f>
        <v>255.173879</v>
      </c>
      <c r="O76" s="78">
        <f>N76-H247</f>
        <v>235.72343404252334</v>
      </c>
      <c r="P76" s="78">
        <f>255.619633</f>
        <v>255.61963299999999</v>
      </c>
      <c r="Q76" s="96">
        <f>P76*(1+$H$255)</f>
        <v>252.82121959496544</v>
      </c>
      <c r="R76" s="23"/>
    </row>
    <row r="77" spans="3:18">
      <c r="C77" s="98" t="s">
        <v>53</v>
      </c>
      <c r="D77" s="99"/>
      <c r="E77" s="99"/>
      <c r="F77" s="99"/>
      <c r="G77" s="94">
        <v>372.7</v>
      </c>
      <c r="H77" s="78">
        <v>336.15534500000001</v>
      </c>
      <c r="I77" s="78">
        <f>H77-G248</f>
        <v>309.7585594612612</v>
      </c>
      <c r="J77" s="78">
        <v>812.02743599999997</v>
      </c>
      <c r="K77" s="96">
        <f>J77*(1+$G$255)</f>
        <v>783.6607631936364</v>
      </c>
      <c r="L77" s="78"/>
      <c r="M77" s="94">
        <v>606.52423599999997</v>
      </c>
      <c r="N77" s="78">
        <f>365.979581</f>
        <v>365.979581</v>
      </c>
      <c r="O77" s="78">
        <f>N77-H248</f>
        <v>338.08305129367818</v>
      </c>
      <c r="P77" s="78">
        <v>322.19134500000001</v>
      </c>
      <c r="Q77" s="96">
        <f>P77*(1+$H$255)</f>
        <v>318.66413322736548</v>
      </c>
      <c r="R77" s="23"/>
    </row>
    <row r="78" spans="3:18">
      <c r="C78" s="119" t="s">
        <v>54</v>
      </c>
      <c r="D78" s="99"/>
      <c r="E78" s="99"/>
      <c r="F78" s="99"/>
      <c r="G78" s="94"/>
      <c r="H78" s="78"/>
      <c r="I78" s="78"/>
      <c r="J78" s="78">
        <v>797</v>
      </c>
      <c r="K78" s="96">
        <f>J78*(1+$G$255)</f>
        <v>769.1582828062576</v>
      </c>
      <c r="L78" s="78"/>
      <c r="M78" s="94"/>
      <c r="N78" s="78"/>
      <c r="O78" s="78"/>
      <c r="P78" s="78">
        <v>0</v>
      </c>
      <c r="Q78" s="95">
        <v>0</v>
      </c>
      <c r="R78" s="23"/>
    </row>
    <row r="79" spans="3:18">
      <c r="C79" s="98"/>
      <c r="D79" s="99"/>
      <c r="E79" s="99"/>
      <c r="F79" s="99"/>
      <c r="G79" s="94"/>
      <c r="H79" s="78"/>
      <c r="I79" s="78"/>
      <c r="J79" s="78"/>
      <c r="K79" s="95"/>
      <c r="L79" s="78"/>
      <c r="M79" s="94"/>
      <c r="N79" s="78"/>
      <c r="O79" s="78"/>
      <c r="P79" s="78"/>
      <c r="Q79" s="95"/>
      <c r="R79" s="23"/>
    </row>
    <row r="80" spans="3:18">
      <c r="C80" s="17" t="s">
        <v>37</v>
      </c>
      <c r="G80" s="94"/>
      <c r="H80" s="78"/>
      <c r="I80" s="78"/>
      <c r="J80" s="78"/>
      <c r="K80" s="95"/>
      <c r="L80" s="78"/>
      <c r="M80" s="94"/>
      <c r="N80" s="78"/>
      <c r="O80" s="78"/>
      <c r="P80" s="78"/>
      <c r="Q80" s="95"/>
      <c r="R80" s="23"/>
    </row>
    <row r="81" spans="3:18">
      <c r="C81" s="98" t="s">
        <v>55</v>
      </c>
      <c r="D81" s="99"/>
      <c r="E81" s="99"/>
      <c r="F81" s="99"/>
      <c r="G81" s="94">
        <v>0</v>
      </c>
      <c r="H81" s="78">
        <v>0</v>
      </c>
      <c r="I81" s="78">
        <v>0</v>
      </c>
      <c r="J81" s="78">
        <v>0</v>
      </c>
      <c r="K81" s="95">
        <f t="shared" ref="K81:K85" si="12">J81</f>
        <v>0</v>
      </c>
      <c r="L81" s="78"/>
      <c r="M81" s="94">
        <v>165.8</v>
      </c>
      <c r="N81" s="78">
        <v>246</v>
      </c>
      <c r="O81" s="78">
        <v>246</v>
      </c>
      <c r="P81" s="78">
        <v>50</v>
      </c>
      <c r="Q81" s="95">
        <v>0</v>
      </c>
      <c r="R81" s="23"/>
    </row>
    <row r="82" spans="3:18">
      <c r="C82" s="98" t="s">
        <v>51</v>
      </c>
      <c r="D82" s="99"/>
      <c r="E82" s="99"/>
      <c r="F82" s="99"/>
      <c r="G82" s="94">
        <v>0</v>
      </c>
      <c r="H82" s="78">
        <v>0</v>
      </c>
      <c r="I82" s="78">
        <v>0</v>
      </c>
      <c r="J82" s="78">
        <v>0</v>
      </c>
      <c r="K82" s="95">
        <f t="shared" si="12"/>
        <v>0</v>
      </c>
      <c r="L82" s="78"/>
      <c r="M82" s="94">
        <v>102.7</v>
      </c>
      <c r="N82" s="78">
        <v>0</v>
      </c>
      <c r="O82" s="78">
        <v>0</v>
      </c>
      <c r="P82" s="78">
        <v>0</v>
      </c>
      <c r="Q82" s="95">
        <f t="shared" ref="Q82:Q85" si="13">P82</f>
        <v>0</v>
      </c>
      <c r="R82" s="23"/>
    </row>
    <row r="83" spans="3:18">
      <c r="C83" s="98" t="s">
        <v>56</v>
      </c>
      <c r="D83" s="99"/>
      <c r="E83" s="99"/>
      <c r="F83" s="99"/>
      <c r="G83" s="94">
        <v>0</v>
      </c>
      <c r="H83" s="78">
        <v>0</v>
      </c>
      <c r="I83" s="78">
        <v>0</v>
      </c>
      <c r="J83" s="78">
        <v>0</v>
      </c>
      <c r="K83" s="95">
        <f t="shared" si="12"/>
        <v>0</v>
      </c>
      <c r="L83" s="78"/>
      <c r="M83" s="94">
        <v>32.700000000000003</v>
      </c>
      <c r="N83" s="78">
        <v>0</v>
      </c>
      <c r="O83" s="78">
        <v>0</v>
      </c>
      <c r="P83" s="78">
        <v>0</v>
      </c>
      <c r="Q83" s="95">
        <f t="shared" si="13"/>
        <v>0</v>
      </c>
      <c r="R83" s="23"/>
    </row>
    <row r="84" spans="3:18">
      <c r="C84" s="98" t="s">
        <v>57</v>
      </c>
      <c r="D84" s="99"/>
      <c r="E84" s="99"/>
      <c r="F84" s="99"/>
      <c r="G84" s="94">
        <v>35</v>
      </c>
      <c r="H84" s="78">
        <v>0</v>
      </c>
      <c r="I84" s="78">
        <v>0</v>
      </c>
      <c r="J84" s="78">
        <v>0</v>
      </c>
      <c r="K84" s="95">
        <f t="shared" si="12"/>
        <v>0</v>
      </c>
      <c r="L84" s="78"/>
      <c r="M84" s="94">
        <v>58.2</v>
      </c>
      <c r="N84" s="78">
        <v>0</v>
      </c>
      <c r="O84" s="78">
        <v>0</v>
      </c>
      <c r="P84" s="78">
        <v>0</v>
      </c>
      <c r="Q84" s="95">
        <f t="shared" si="13"/>
        <v>0</v>
      </c>
      <c r="R84" s="23"/>
    </row>
    <row r="85" spans="3:18">
      <c r="C85" s="98" t="s">
        <v>58</v>
      </c>
      <c r="D85" s="99"/>
      <c r="E85" s="99"/>
      <c r="F85" s="99"/>
      <c r="G85" s="94">
        <v>-0.4</v>
      </c>
      <c r="H85" s="78">
        <v>0</v>
      </c>
      <c r="I85" s="78">
        <v>0</v>
      </c>
      <c r="J85" s="78">
        <v>0</v>
      </c>
      <c r="K85" s="95">
        <f t="shared" si="12"/>
        <v>0</v>
      </c>
      <c r="L85" s="78"/>
      <c r="M85" s="94">
        <f>2.2+8.3</f>
        <v>10.5</v>
      </c>
      <c r="N85" s="78">
        <v>0</v>
      </c>
      <c r="O85" s="78">
        <v>0</v>
      </c>
      <c r="P85" s="78">
        <v>0</v>
      </c>
      <c r="Q85" s="95">
        <f t="shared" si="13"/>
        <v>0</v>
      </c>
      <c r="R85" s="23"/>
    </row>
    <row r="86" spans="3:18">
      <c r="C86" s="98"/>
      <c r="D86" s="99"/>
      <c r="E86" s="99"/>
      <c r="F86" s="99"/>
      <c r="G86" s="94"/>
      <c r="H86" s="78"/>
      <c r="I86" s="78"/>
      <c r="J86" s="78"/>
      <c r="K86" s="95"/>
      <c r="L86" s="78"/>
      <c r="M86" s="94"/>
      <c r="N86" s="78"/>
      <c r="O86" s="78"/>
      <c r="P86" s="78"/>
      <c r="Q86" s="95"/>
      <c r="R86" s="23"/>
    </row>
    <row r="87" spans="3:18">
      <c r="C87" s="17" t="s">
        <v>59</v>
      </c>
      <c r="F87" t="s">
        <v>60</v>
      </c>
      <c r="G87" s="94">
        <f>SUM(G88:G92)</f>
        <v>3279.6845000000003</v>
      </c>
      <c r="H87" s="78">
        <f t="shared" ref="H87:K87" si="14">SUM(H88:H92)</f>
        <v>4155.3119999999999</v>
      </c>
      <c r="I87" s="78">
        <f t="shared" si="14"/>
        <v>4155.3119999999999</v>
      </c>
      <c r="J87" s="78">
        <f t="shared" si="14"/>
        <v>3712</v>
      </c>
      <c r="K87" s="95">
        <f t="shared" si="14"/>
        <v>3881</v>
      </c>
      <c r="L87" s="78"/>
      <c r="M87" s="94">
        <f t="shared" ref="M87:Q87" si="15">SUM(M88:M92)</f>
        <v>3279.6845000000003</v>
      </c>
      <c r="N87" s="78">
        <f t="shared" si="15"/>
        <v>4155.3119999999999</v>
      </c>
      <c r="O87" s="78">
        <f t="shared" si="15"/>
        <v>4155.3119999999999</v>
      </c>
      <c r="P87" s="78">
        <f t="shared" si="15"/>
        <v>3712</v>
      </c>
      <c r="Q87" s="95">
        <f t="shared" si="15"/>
        <v>3881</v>
      </c>
      <c r="R87" s="23"/>
    </row>
    <row r="88" spans="3:18">
      <c r="C88" s="98" t="s">
        <v>61</v>
      </c>
      <c r="D88" s="99"/>
      <c r="E88" s="99"/>
      <c r="F88" s="99"/>
      <c r="G88" s="94">
        <f>M88</f>
        <v>1908.403</v>
      </c>
      <c r="H88" s="78">
        <f t="shared" ref="H88:K92" si="16">N88</f>
        <v>2049.8119860000002</v>
      </c>
      <c r="I88" s="78">
        <f t="shared" si="16"/>
        <v>2049.8119860000002</v>
      </c>
      <c r="J88" s="78">
        <f t="shared" si="16"/>
        <v>1221</v>
      </c>
      <c r="K88" s="95">
        <f t="shared" si="16"/>
        <v>1221</v>
      </c>
      <c r="L88" s="78"/>
      <c r="M88" s="94">
        <v>1908.403</v>
      </c>
      <c r="N88" s="78">
        <v>2049.8119860000002</v>
      </c>
      <c r="O88" s="78">
        <v>2049.8119860000002</v>
      </c>
      <c r="P88" s="78">
        <v>1221</v>
      </c>
      <c r="Q88" s="95">
        <v>1221</v>
      </c>
      <c r="R88" s="23"/>
    </row>
    <row r="89" spans="3:18">
      <c r="C89" s="98" t="s">
        <v>62</v>
      </c>
      <c r="D89" s="99"/>
      <c r="E89" s="99"/>
      <c r="F89" s="99"/>
      <c r="G89" s="94">
        <f t="shared" ref="G89:G92" si="17">M89</f>
        <v>226.41424271</v>
      </c>
      <c r="H89" s="78">
        <f t="shared" si="16"/>
        <v>252</v>
      </c>
      <c r="I89" s="78">
        <f t="shared" si="16"/>
        <v>252</v>
      </c>
      <c r="J89" s="78">
        <f t="shared" si="16"/>
        <v>268</v>
      </c>
      <c r="K89" s="95">
        <f t="shared" si="16"/>
        <v>268</v>
      </c>
      <c r="L89" s="78"/>
      <c r="M89" s="94">
        <v>226.41424271</v>
      </c>
      <c r="N89" s="78">
        <v>252</v>
      </c>
      <c r="O89" s="78">
        <v>252</v>
      </c>
      <c r="P89" s="78">
        <v>268</v>
      </c>
      <c r="Q89" s="95">
        <v>268</v>
      </c>
      <c r="R89" s="23"/>
    </row>
    <row r="90" spans="3:18">
      <c r="C90" s="98" t="s">
        <v>63</v>
      </c>
      <c r="D90" s="99"/>
      <c r="E90" s="99"/>
      <c r="F90" s="99"/>
      <c r="G90" s="94">
        <f t="shared" si="17"/>
        <v>561.01049999999998</v>
      </c>
      <c r="H90" s="78">
        <f t="shared" si="16"/>
        <v>561</v>
      </c>
      <c r="I90" s="78">
        <f t="shared" si="16"/>
        <v>561</v>
      </c>
      <c r="J90" s="78">
        <f t="shared" si="16"/>
        <v>561</v>
      </c>
      <c r="K90" s="95">
        <f t="shared" si="16"/>
        <v>751</v>
      </c>
      <c r="L90" s="78"/>
      <c r="M90" s="94">
        <v>561.01049999999998</v>
      </c>
      <c r="N90" s="78">
        <v>561</v>
      </c>
      <c r="O90" s="78">
        <v>561</v>
      </c>
      <c r="P90" s="78">
        <v>561</v>
      </c>
      <c r="Q90" s="95">
        <v>751</v>
      </c>
      <c r="R90" s="23"/>
    </row>
    <row r="91" spans="3:18">
      <c r="C91" s="98" t="s">
        <v>64</v>
      </c>
      <c r="D91" s="99"/>
      <c r="E91" s="99"/>
      <c r="F91" s="99"/>
      <c r="G91" s="94">
        <f t="shared" si="17"/>
        <v>0</v>
      </c>
      <c r="H91" s="78">
        <f t="shared" si="16"/>
        <v>600</v>
      </c>
      <c r="I91" s="78">
        <f t="shared" si="16"/>
        <v>600</v>
      </c>
      <c r="J91" s="78">
        <f t="shared" si="16"/>
        <v>621</v>
      </c>
      <c r="K91" s="95">
        <f t="shared" si="16"/>
        <v>600</v>
      </c>
      <c r="L91" s="78"/>
      <c r="M91" s="94">
        <v>0</v>
      </c>
      <c r="N91" s="78">
        <v>600</v>
      </c>
      <c r="O91" s="78">
        <v>600</v>
      </c>
      <c r="P91" s="78">
        <v>621</v>
      </c>
      <c r="Q91" s="95">
        <v>600</v>
      </c>
      <c r="R91" s="23"/>
    </row>
    <row r="92" spans="3:18">
      <c r="C92" s="98" t="s">
        <v>65</v>
      </c>
      <c r="D92" s="99"/>
      <c r="E92" s="99"/>
      <c r="F92" s="99"/>
      <c r="G92" s="94">
        <f t="shared" si="17"/>
        <v>583.85675729000036</v>
      </c>
      <c r="H92" s="78">
        <f t="shared" si="16"/>
        <v>692.50001400000008</v>
      </c>
      <c r="I92" s="78">
        <f t="shared" si="16"/>
        <v>692.50001400000008</v>
      </c>
      <c r="J92" s="78">
        <f t="shared" si="16"/>
        <v>1041</v>
      </c>
      <c r="K92" s="95">
        <f t="shared" si="16"/>
        <v>1041</v>
      </c>
      <c r="L92" s="78"/>
      <c r="M92" s="94">
        <v>583.85675729000036</v>
      </c>
      <c r="N92" s="78">
        <v>692.50001400000008</v>
      </c>
      <c r="O92" s="78">
        <v>692.50001400000008</v>
      </c>
      <c r="P92" s="78">
        <f>421+245+346+29</f>
        <v>1041</v>
      </c>
      <c r="Q92" s="95">
        <f>421+245+346+29</f>
        <v>1041</v>
      </c>
      <c r="R92" s="23"/>
    </row>
    <row r="93" spans="3:18">
      <c r="C93" s="98"/>
      <c r="D93" s="99"/>
      <c r="E93" s="99"/>
      <c r="F93" s="99"/>
      <c r="G93" s="94"/>
      <c r="H93" s="78"/>
      <c r="I93" s="78"/>
      <c r="J93" s="78"/>
      <c r="K93" s="95"/>
      <c r="L93" s="78"/>
      <c r="M93" s="94"/>
      <c r="N93" s="78"/>
      <c r="O93" s="78"/>
      <c r="P93" s="78"/>
      <c r="Q93" s="95"/>
      <c r="R93" s="23"/>
    </row>
    <row r="94" spans="3:18">
      <c r="C94" s="17" t="s">
        <v>66</v>
      </c>
      <c r="G94" s="94">
        <v>3507</v>
      </c>
      <c r="H94" s="78">
        <v>5083</v>
      </c>
      <c r="I94" s="78">
        <v>5083</v>
      </c>
      <c r="J94" s="78">
        <v>4194</v>
      </c>
      <c r="K94" s="95">
        <v>4194</v>
      </c>
      <c r="L94" s="78"/>
      <c r="M94" s="94">
        <v>3586</v>
      </c>
      <c r="N94" s="78">
        <v>4614</v>
      </c>
      <c r="O94" s="78">
        <v>4643</v>
      </c>
      <c r="P94" s="78">
        <v>3719</v>
      </c>
      <c r="Q94" s="95">
        <v>3719</v>
      </c>
      <c r="R94" s="23"/>
    </row>
    <row r="95" spans="3:18">
      <c r="C95" s="98" t="s">
        <v>67</v>
      </c>
      <c r="G95" s="94">
        <v>1318</v>
      </c>
      <c r="H95" s="78">
        <v>2794</v>
      </c>
      <c r="I95" s="78">
        <v>2770</v>
      </c>
      <c r="J95" s="78">
        <v>2494</v>
      </c>
      <c r="K95" s="95">
        <v>2494</v>
      </c>
      <c r="L95" s="78"/>
      <c r="M95" s="94">
        <v>1277</v>
      </c>
      <c r="N95" s="78">
        <v>1937</v>
      </c>
      <c r="O95" s="78">
        <v>1965</v>
      </c>
      <c r="P95" s="78">
        <v>1567</v>
      </c>
      <c r="Q95" s="95">
        <v>1567</v>
      </c>
      <c r="R95" s="23"/>
    </row>
    <row r="96" spans="3:18">
      <c r="C96" s="98" t="s">
        <v>68</v>
      </c>
      <c r="G96" s="94">
        <v>757</v>
      </c>
      <c r="H96" s="78">
        <v>896</v>
      </c>
      <c r="I96" s="78">
        <v>896</v>
      </c>
      <c r="J96" s="78">
        <v>363</v>
      </c>
      <c r="K96" s="95">
        <v>363</v>
      </c>
      <c r="L96" s="78"/>
      <c r="M96" s="94">
        <v>745</v>
      </c>
      <c r="N96" s="78">
        <v>855</v>
      </c>
      <c r="O96" s="78">
        <v>855</v>
      </c>
      <c r="P96" s="78">
        <v>549</v>
      </c>
      <c r="Q96" s="95">
        <v>549</v>
      </c>
      <c r="R96" s="23"/>
    </row>
    <row r="97" spans="3:18">
      <c r="C97" s="17"/>
      <c r="G97" s="94"/>
      <c r="H97" s="78"/>
      <c r="I97" s="78"/>
      <c r="J97" s="78"/>
      <c r="K97" s="95"/>
      <c r="L97" s="78"/>
      <c r="M97" s="94"/>
      <c r="N97" s="78"/>
      <c r="O97" s="78"/>
      <c r="P97" s="78"/>
      <c r="Q97" s="95"/>
      <c r="R97" s="23"/>
    </row>
    <row r="98" spans="3:18">
      <c r="C98" s="17" t="s">
        <v>69</v>
      </c>
      <c r="F98" t="s">
        <v>60</v>
      </c>
      <c r="G98" s="94"/>
      <c r="H98" s="78"/>
      <c r="I98" s="78"/>
      <c r="J98" s="78"/>
      <c r="K98" s="95"/>
      <c r="L98" s="78"/>
      <c r="M98" s="94"/>
      <c r="N98" s="78"/>
      <c r="O98" s="78"/>
      <c r="P98" s="78"/>
      <c r="Q98" s="95"/>
      <c r="R98" s="23"/>
    </row>
    <row r="99" spans="3:18">
      <c r="C99" s="98" t="s">
        <v>70</v>
      </c>
      <c r="G99" s="94">
        <v>1796</v>
      </c>
      <c r="H99" s="78">
        <v>1710</v>
      </c>
      <c r="I99" s="78">
        <v>1710</v>
      </c>
      <c r="J99" s="78">
        <v>1355</v>
      </c>
      <c r="K99" s="95">
        <v>1355</v>
      </c>
      <c r="L99" s="78"/>
      <c r="M99" s="94">
        <v>1796</v>
      </c>
      <c r="N99" s="78">
        <v>1710</v>
      </c>
      <c r="O99" s="78">
        <v>1710</v>
      </c>
      <c r="P99" s="78">
        <v>1355</v>
      </c>
      <c r="Q99" s="95">
        <v>1355</v>
      </c>
      <c r="R99" s="23"/>
    </row>
    <row r="100" spans="3:18">
      <c r="C100" s="17"/>
      <c r="G100" s="94"/>
      <c r="H100" s="78"/>
      <c r="I100" s="78"/>
      <c r="J100" s="78"/>
      <c r="K100" s="95"/>
      <c r="L100" s="78"/>
      <c r="M100" s="94"/>
      <c r="N100" s="78"/>
      <c r="O100" s="78"/>
      <c r="P100" s="78"/>
      <c r="Q100" s="95"/>
      <c r="R100" s="23"/>
    </row>
    <row r="101" spans="3:18">
      <c r="C101" s="120" t="s">
        <v>71</v>
      </c>
      <c r="D101" s="121"/>
      <c r="E101" s="121"/>
      <c r="F101" s="121"/>
      <c r="G101" s="122">
        <f>G75+G95+G98</f>
        <v>4026.3745079999999</v>
      </c>
      <c r="H101" s="123">
        <f>H75+H95+H98</f>
        <v>5759.2358399999994</v>
      </c>
      <c r="I101" s="123">
        <f>I75+I95+I98</f>
        <v>5502.3890454911634</v>
      </c>
      <c r="J101" s="123">
        <f>J75+J95+J98</f>
        <v>5592.4907440000006</v>
      </c>
      <c r="K101" s="124">
        <f>K75+K95+K98</f>
        <v>5484.2507151143336</v>
      </c>
      <c r="L101" s="78"/>
      <c r="M101" s="122">
        <f>M75+M95+M98</f>
        <v>3981.9245080000001</v>
      </c>
      <c r="N101" s="123">
        <f>N75+N95+N98</f>
        <v>4903.3858399999999</v>
      </c>
      <c r="O101" s="123">
        <f>O75+O95+O98</f>
        <v>4705.2752179815207</v>
      </c>
      <c r="P101" s="123">
        <f>P75+P95+P98</f>
        <v>4665.4907440000006</v>
      </c>
      <c r="Q101" s="124">
        <f>Q75+Q95+Q98</f>
        <v>4631.5698047840942</v>
      </c>
      <c r="R101" s="23"/>
    </row>
    <row r="102" spans="3:18">
      <c r="C102" s="120" t="s">
        <v>72</v>
      </c>
      <c r="D102" s="121"/>
      <c r="E102" s="121"/>
      <c r="F102" s="121"/>
      <c r="G102" s="122">
        <f>G77+G96-G78</f>
        <v>1129.7</v>
      </c>
      <c r="H102" s="123">
        <f>H77+H96-H78</f>
        <v>1232.1553450000001</v>
      </c>
      <c r="I102" s="123">
        <f>I77+I96-I78</f>
        <v>1205.7585594612613</v>
      </c>
      <c r="J102" s="123">
        <f>J77+J96-J78</f>
        <v>378.02743599999985</v>
      </c>
      <c r="K102" s="124">
        <f>K77+K96-K78</f>
        <v>377.50248038737868</v>
      </c>
      <c r="L102" s="78"/>
      <c r="M102" s="122">
        <f>M77+M96-M78</f>
        <v>1351.524236</v>
      </c>
      <c r="N102" s="123">
        <f>N77+N96-N78</f>
        <v>1220.9795810000001</v>
      </c>
      <c r="O102" s="123">
        <f>O77+O96-O78</f>
        <v>1193.0830512936782</v>
      </c>
      <c r="P102" s="123">
        <f>P77+P96-P78</f>
        <v>871.19134499999996</v>
      </c>
      <c r="Q102" s="124">
        <f>Q77+Q96-Q78</f>
        <v>867.66413322736548</v>
      </c>
      <c r="R102" s="23"/>
    </row>
    <row r="103" spans="3:18">
      <c r="C103" s="10"/>
      <c r="D103" s="11"/>
      <c r="E103" s="11"/>
      <c r="F103" s="11"/>
      <c r="G103" s="75"/>
      <c r="H103" s="76"/>
      <c r="I103" s="76"/>
      <c r="J103" s="76"/>
      <c r="K103" s="77"/>
      <c r="L103" s="78"/>
      <c r="M103" s="75"/>
      <c r="N103" s="76"/>
      <c r="O103" s="76"/>
      <c r="P103" s="76"/>
      <c r="Q103" s="77"/>
      <c r="R103" s="23"/>
    </row>
    <row r="104" spans="3:18">
      <c r="C104" s="125" t="s">
        <v>18</v>
      </c>
      <c r="D104" s="38"/>
      <c r="E104" s="38"/>
      <c r="F104" s="38"/>
      <c r="G104" s="126"/>
      <c r="H104" s="127"/>
      <c r="I104" s="127"/>
      <c r="J104" s="127"/>
      <c r="K104" s="128"/>
      <c r="L104" s="78"/>
      <c r="M104" s="126"/>
      <c r="N104" s="127"/>
      <c r="O104" s="127"/>
      <c r="P104" s="127"/>
      <c r="Q104" s="128"/>
      <c r="R104" s="23"/>
    </row>
    <row r="105" spans="3:18">
      <c r="C105" s="17"/>
      <c r="G105" s="94"/>
      <c r="H105" s="78"/>
      <c r="I105" s="78"/>
      <c r="J105" s="78"/>
      <c r="K105" s="95"/>
      <c r="L105" s="78"/>
      <c r="M105" s="94"/>
      <c r="N105" s="78"/>
      <c r="O105" s="78"/>
      <c r="P105" s="78"/>
      <c r="Q105" s="95"/>
      <c r="R105" s="23"/>
    </row>
    <row r="106" spans="3:18">
      <c r="C106" s="17" t="s">
        <v>73</v>
      </c>
      <c r="G106" s="94"/>
      <c r="H106" s="78"/>
      <c r="I106" s="78"/>
      <c r="J106" s="78"/>
      <c r="K106" s="95"/>
      <c r="L106" s="78"/>
      <c r="M106" s="94"/>
      <c r="N106" s="78"/>
      <c r="O106" s="78"/>
      <c r="P106" s="78"/>
      <c r="Q106" s="95"/>
      <c r="R106" s="23"/>
    </row>
    <row r="107" spans="3:18">
      <c r="C107" s="98" t="s">
        <v>74</v>
      </c>
      <c r="D107" s="99"/>
      <c r="E107" s="99"/>
      <c r="F107" s="99"/>
      <c r="G107" s="94">
        <v>520</v>
      </c>
      <c r="H107" s="78">
        <v>820</v>
      </c>
      <c r="I107" s="78">
        <v>820</v>
      </c>
      <c r="J107" s="78">
        <v>540</v>
      </c>
      <c r="K107" s="95">
        <v>820</v>
      </c>
      <c r="L107" s="78"/>
      <c r="M107" s="94">
        <v>520</v>
      </c>
      <c r="N107" s="78">
        <v>820</v>
      </c>
      <c r="O107" s="78">
        <v>820</v>
      </c>
      <c r="P107" s="78">
        <v>540</v>
      </c>
      <c r="Q107" s="95">
        <v>820</v>
      </c>
      <c r="R107" s="23"/>
    </row>
    <row r="108" spans="3:18">
      <c r="C108" s="98"/>
      <c r="D108" s="99"/>
      <c r="E108" s="99"/>
      <c r="F108" s="99"/>
      <c r="G108" s="94"/>
      <c r="H108" s="78"/>
      <c r="I108" s="78"/>
      <c r="J108" s="78"/>
      <c r="K108" s="95"/>
      <c r="L108" s="78"/>
      <c r="M108" s="94"/>
      <c r="N108" s="78"/>
      <c r="O108" s="78"/>
      <c r="P108" s="78"/>
      <c r="Q108" s="95"/>
      <c r="R108" s="23"/>
    </row>
    <row r="109" spans="3:18">
      <c r="C109" s="17" t="s">
        <v>75</v>
      </c>
      <c r="G109" s="94"/>
      <c r="H109" s="78"/>
      <c r="I109" s="78"/>
      <c r="J109" s="78"/>
      <c r="K109" s="95"/>
      <c r="L109" s="78"/>
      <c r="M109" s="94"/>
      <c r="N109" s="78"/>
      <c r="O109" s="78"/>
      <c r="P109" s="78"/>
      <c r="Q109" s="95"/>
      <c r="R109" s="23"/>
    </row>
    <row r="110" spans="3:18">
      <c r="C110" s="98" t="s">
        <v>76</v>
      </c>
      <c r="D110" s="99"/>
      <c r="E110" s="99"/>
      <c r="F110" s="99"/>
      <c r="G110" s="94">
        <v>1375.8648860000001</v>
      </c>
      <c r="H110" s="78">
        <v>0</v>
      </c>
      <c r="I110" s="78">
        <v>0</v>
      </c>
      <c r="J110" s="78">
        <v>4235.5907559999996</v>
      </c>
      <c r="K110" s="96">
        <f>Q110</f>
        <v>4398.5907559999996</v>
      </c>
      <c r="L110" s="78"/>
      <c r="M110" s="94">
        <v>1375.8648860000001</v>
      </c>
      <c r="N110" s="78">
        <v>0</v>
      </c>
      <c r="O110" s="78">
        <v>0</v>
      </c>
      <c r="P110" s="78">
        <v>4235.5907559999996</v>
      </c>
      <c r="Q110" s="96">
        <f>P110-214+377</f>
        <v>4398.5907559999996</v>
      </c>
      <c r="R110" s="23"/>
    </row>
    <row r="111" spans="3:18">
      <c r="C111" s="98" t="s">
        <v>77</v>
      </c>
      <c r="D111" s="99"/>
      <c r="E111" s="99"/>
      <c r="F111" s="99"/>
      <c r="G111" s="94">
        <v>43.159129999999998</v>
      </c>
      <c r="H111" s="78">
        <v>875.50960099999998</v>
      </c>
      <c r="I111" s="78">
        <v>875.50960099999998</v>
      </c>
      <c r="J111" s="78">
        <v>1181.467408</v>
      </c>
      <c r="K111" s="96">
        <v>1181.467408</v>
      </c>
      <c r="L111" s="78"/>
      <c r="M111" s="94">
        <v>43.159129999999998</v>
      </c>
      <c r="N111" s="78">
        <v>875.50960099999998</v>
      </c>
      <c r="O111" s="78">
        <v>875.50960099999998</v>
      </c>
      <c r="P111" s="78">
        <v>1181.467408</v>
      </c>
      <c r="Q111" s="96">
        <v>1181</v>
      </c>
      <c r="R111" s="23"/>
    </row>
    <row r="112" spans="3:18">
      <c r="C112" s="98"/>
      <c r="D112" s="99"/>
      <c r="E112" s="99"/>
      <c r="F112" s="99"/>
      <c r="G112" s="94"/>
      <c r="H112" s="78"/>
      <c r="I112" s="78"/>
      <c r="J112" s="78"/>
      <c r="K112" s="95"/>
      <c r="L112" s="78"/>
      <c r="M112" s="94"/>
      <c r="N112" s="78"/>
      <c r="O112" s="78"/>
      <c r="P112" s="78"/>
      <c r="Q112" s="95"/>
      <c r="R112" s="23"/>
    </row>
    <row r="113" spans="3:18">
      <c r="C113" s="129" t="s">
        <v>78</v>
      </c>
      <c r="D113" s="130"/>
      <c r="E113" s="130"/>
      <c r="F113" s="130"/>
      <c r="G113" s="131">
        <f>G107</f>
        <v>520</v>
      </c>
      <c r="H113" s="132">
        <f>H107</f>
        <v>820</v>
      </c>
      <c r="I113" s="132">
        <f>I107</f>
        <v>820</v>
      </c>
      <c r="J113" s="132">
        <f>J107</f>
        <v>540</v>
      </c>
      <c r="K113" s="133">
        <f>K107</f>
        <v>820</v>
      </c>
      <c r="L113" s="78"/>
      <c r="M113" s="131">
        <f>M107</f>
        <v>520</v>
      </c>
      <c r="N113" s="132">
        <f>N107</f>
        <v>820</v>
      </c>
      <c r="O113" s="132">
        <f>O107</f>
        <v>820</v>
      </c>
      <c r="P113" s="132">
        <f>P107</f>
        <v>540</v>
      </c>
      <c r="Q113" s="133">
        <f>Q107</f>
        <v>820</v>
      </c>
      <c r="R113" s="23"/>
    </row>
    <row r="114" spans="3:18">
      <c r="C114" s="129" t="s">
        <v>79</v>
      </c>
      <c r="D114" s="130"/>
      <c r="E114" s="130"/>
      <c r="F114" s="130"/>
      <c r="G114" s="131">
        <f>SUM(G110:G111)</f>
        <v>1419.0240160000001</v>
      </c>
      <c r="H114" s="132">
        <f>SUM(H110:H111)</f>
        <v>875.50960099999998</v>
      </c>
      <c r="I114" s="132">
        <f>SUM(I110:I111)</f>
        <v>875.50960099999998</v>
      </c>
      <c r="J114" s="132">
        <f>SUM(J110:J111)</f>
        <v>5417.058164</v>
      </c>
      <c r="K114" s="133">
        <f>SUM(K110:K111)</f>
        <v>5580.058164</v>
      </c>
      <c r="L114" s="78"/>
      <c r="M114" s="131">
        <f>SUM(M110:M111)</f>
        <v>1419.0240160000001</v>
      </c>
      <c r="N114" s="132">
        <f>SUM(N110:N111)</f>
        <v>875.50960099999998</v>
      </c>
      <c r="O114" s="132">
        <f>SUM(O110:O111)</f>
        <v>875.50960099999998</v>
      </c>
      <c r="P114" s="132">
        <f>SUM(P110:P111)</f>
        <v>5417.058164</v>
      </c>
      <c r="Q114" s="133">
        <f>SUM(Q110:Q111)</f>
        <v>5579.5907559999996</v>
      </c>
      <c r="R114" s="23"/>
    </row>
    <row r="115" spans="3:18">
      <c r="C115" s="17"/>
      <c r="G115" s="94"/>
      <c r="H115" s="78"/>
      <c r="I115" s="78"/>
      <c r="J115" s="78"/>
      <c r="K115" s="95"/>
      <c r="L115" s="78"/>
      <c r="M115" s="94"/>
      <c r="N115" s="78"/>
      <c r="O115" s="78"/>
      <c r="P115" s="78"/>
      <c r="Q115" s="95"/>
      <c r="R115" s="23"/>
    </row>
    <row r="116" spans="3:18">
      <c r="C116" s="134" t="s">
        <v>21</v>
      </c>
      <c r="D116" s="47"/>
      <c r="E116" s="47"/>
      <c r="F116" s="47"/>
      <c r="G116" s="135"/>
      <c r="H116" s="136"/>
      <c r="I116" s="136"/>
      <c r="J116" s="136"/>
      <c r="K116" s="137"/>
      <c r="L116" s="23"/>
      <c r="M116" s="135"/>
      <c r="N116" s="136"/>
      <c r="O116" s="136"/>
      <c r="P116" s="136"/>
      <c r="Q116" s="137"/>
      <c r="R116" s="23"/>
    </row>
    <row r="117" spans="3:18">
      <c r="C117" s="17"/>
      <c r="G117" s="89"/>
      <c r="H117" s="23"/>
      <c r="I117" s="23"/>
      <c r="J117" s="23"/>
      <c r="K117" s="90"/>
      <c r="L117" s="23"/>
      <c r="M117" s="89"/>
      <c r="N117" s="23"/>
      <c r="O117" s="23"/>
      <c r="P117" s="23"/>
      <c r="Q117" s="90"/>
      <c r="R117" s="23"/>
    </row>
    <row r="118" spans="3:18">
      <c r="C118" s="19" t="s">
        <v>80</v>
      </c>
      <c r="D118" s="6"/>
      <c r="E118" s="6"/>
      <c r="F118" s="6"/>
      <c r="G118" s="89"/>
      <c r="H118" s="23"/>
      <c r="I118" s="23"/>
      <c r="J118" s="23"/>
      <c r="K118" s="90"/>
      <c r="L118" s="23"/>
      <c r="M118" s="89"/>
      <c r="N118" s="23"/>
      <c r="O118" s="23"/>
      <c r="P118" s="23"/>
      <c r="Q118" s="90"/>
      <c r="R118" s="23"/>
    </row>
    <row r="119" spans="3:18">
      <c r="C119" s="92" t="s">
        <v>81</v>
      </c>
      <c r="D119" s="93"/>
      <c r="E119" s="93"/>
      <c r="F119" s="93"/>
      <c r="G119" s="94"/>
      <c r="H119" s="78"/>
      <c r="I119" s="78"/>
      <c r="J119" s="78">
        <v>50</v>
      </c>
      <c r="K119" s="95">
        <v>1550</v>
      </c>
      <c r="L119" s="23"/>
      <c r="M119" s="94"/>
      <c r="N119" s="78"/>
      <c r="O119" s="78"/>
      <c r="P119" s="78"/>
      <c r="Q119" s="95">
        <v>0</v>
      </c>
      <c r="R119" s="23"/>
    </row>
    <row r="120" spans="3:18">
      <c r="C120" s="19" t="s">
        <v>37</v>
      </c>
      <c r="D120" s="6"/>
      <c r="E120" s="6"/>
      <c r="F120" s="6"/>
      <c r="G120" s="94"/>
      <c r="H120" s="78"/>
      <c r="I120" s="78"/>
      <c r="J120" s="78"/>
      <c r="K120" s="95"/>
      <c r="L120" s="23"/>
      <c r="M120" s="94"/>
      <c r="N120" s="78"/>
      <c r="O120" s="78"/>
      <c r="P120" s="78"/>
      <c r="Q120" s="95"/>
      <c r="R120" s="23"/>
    </row>
    <row r="121" spans="3:18">
      <c r="C121" s="92" t="s">
        <v>82</v>
      </c>
      <c r="D121" s="93"/>
      <c r="E121" s="93"/>
      <c r="F121" s="93"/>
      <c r="G121" s="94">
        <v>0</v>
      </c>
      <c r="H121" s="78">
        <v>0</v>
      </c>
      <c r="I121" s="78">
        <v>0</v>
      </c>
      <c r="J121" s="78">
        <v>0</v>
      </c>
      <c r="K121" s="95">
        <v>0</v>
      </c>
      <c r="L121" s="23"/>
      <c r="M121" s="94">
        <v>148</v>
      </c>
      <c r="N121" s="78">
        <v>36.4</v>
      </c>
      <c r="O121" s="78">
        <f>N121</f>
        <v>36.4</v>
      </c>
      <c r="P121" s="78">
        <v>0</v>
      </c>
      <c r="Q121" s="95">
        <v>0</v>
      </c>
      <c r="R121" s="23"/>
    </row>
    <row r="122" spans="3:18">
      <c r="C122" s="92" t="s">
        <v>83</v>
      </c>
      <c r="D122" s="93"/>
      <c r="E122" s="93"/>
      <c r="F122" s="93"/>
      <c r="G122" s="94"/>
      <c r="H122" s="78"/>
      <c r="I122" s="78"/>
      <c r="J122" s="78"/>
      <c r="K122" s="95"/>
      <c r="L122" s="23"/>
      <c r="M122" s="94">
        <v>118</v>
      </c>
      <c r="N122" s="78"/>
      <c r="O122" s="78"/>
      <c r="P122" s="78"/>
      <c r="Q122" s="95"/>
      <c r="R122" s="23"/>
    </row>
    <row r="123" spans="3:18">
      <c r="C123" s="92" t="s">
        <v>84</v>
      </c>
      <c r="D123" s="93"/>
      <c r="E123" s="93"/>
      <c r="F123" s="93"/>
      <c r="G123" s="94">
        <v>12</v>
      </c>
      <c r="H123" s="78"/>
      <c r="I123" s="78"/>
      <c r="J123" s="78"/>
      <c r="K123" s="95"/>
      <c r="L123" s="23"/>
      <c r="M123" s="94">
        <v>30</v>
      </c>
      <c r="N123" s="78"/>
      <c r="O123" s="78"/>
      <c r="P123" s="78"/>
      <c r="Q123" s="95"/>
      <c r="R123" s="23"/>
    </row>
    <row r="124" spans="3:18">
      <c r="C124" s="139" t="s">
        <v>85</v>
      </c>
      <c r="D124" s="140"/>
      <c r="E124" s="140"/>
      <c r="F124" s="140"/>
      <c r="G124" s="94"/>
      <c r="H124" s="78"/>
      <c r="I124" s="78"/>
      <c r="J124" s="78"/>
      <c r="K124" s="95"/>
      <c r="L124" s="23"/>
      <c r="M124" s="94"/>
      <c r="N124" s="78"/>
      <c r="O124" s="78"/>
      <c r="P124" s="78"/>
      <c r="Q124" s="95"/>
      <c r="R124" s="23"/>
    </row>
    <row r="125" spans="3:18">
      <c r="C125" s="92" t="s">
        <v>86</v>
      </c>
      <c r="D125" s="93"/>
      <c r="E125" s="93"/>
      <c r="F125" s="93"/>
      <c r="G125" s="94">
        <v>2400</v>
      </c>
      <c r="H125" s="78">
        <v>0</v>
      </c>
      <c r="I125" s="78">
        <v>0</v>
      </c>
      <c r="J125" s="78">
        <v>0</v>
      </c>
      <c r="K125" s="95">
        <v>0</v>
      </c>
      <c r="L125" s="23"/>
      <c r="M125" s="94">
        <v>1341</v>
      </c>
      <c r="N125" s="78">
        <v>1730</v>
      </c>
      <c r="O125" s="78">
        <f>N125-922.2</f>
        <v>807.8</v>
      </c>
      <c r="P125" s="78">
        <v>2019</v>
      </c>
      <c r="Q125" s="95">
        <v>1781.9</v>
      </c>
      <c r="R125" s="23"/>
    </row>
    <row r="126" spans="3:18">
      <c r="C126" s="92" t="s">
        <v>87</v>
      </c>
      <c r="D126" s="93"/>
      <c r="E126" s="93"/>
      <c r="F126" s="93"/>
      <c r="G126" s="141">
        <v>136</v>
      </c>
      <c r="H126" s="78">
        <v>0</v>
      </c>
      <c r="I126" s="78">
        <v>0</v>
      </c>
      <c r="J126" s="78">
        <v>0</v>
      </c>
      <c r="K126" s="95">
        <v>0</v>
      </c>
      <c r="L126" s="23"/>
      <c r="M126" s="94"/>
      <c r="N126" s="109">
        <f>N125*16%</f>
        <v>276.8</v>
      </c>
      <c r="O126" s="109">
        <v>214.6</v>
      </c>
      <c r="P126" s="109">
        <f>P125*16%</f>
        <v>323.04000000000002</v>
      </c>
      <c r="Q126" s="96">
        <v>256.5</v>
      </c>
      <c r="R126" s="23"/>
    </row>
    <row r="127" spans="3:18">
      <c r="C127" s="92"/>
      <c r="D127" s="93"/>
      <c r="E127" s="93"/>
      <c r="F127" s="93"/>
      <c r="G127" s="94"/>
      <c r="H127" s="78"/>
      <c r="I127" s="78"/>
      <c r="J127" s="78"/>
      <c r="K127" s="95"/>
      <c r="L127" s="23"/>
      <c r="M127" s="94"/>
      <c r="N127" s="78"/>
      <c r="O127" s="78"/>
      <c r="P127" s="78"/>
      <c r="Q127" s="95"/>
      <c r="R127" s="23"/>
    </row>
    <row r="128" spans="3:18">
      <c r="C128" s="142" t="s">
        <v>88</v>
      </c>
      <c r="D128" s="143"/>
      <c r="E128" s="143"/>
      <c r="F128" s="143"/>
      <c r="G128" s="144">
        <f>SUM(G119,G121,G126)</f>
        <v>136</v>
      </c>
      <c r="H128" s="145">
        <f>SUM(H119,H121,H126)</f>
        <v>0</v>
      </c>
      <c r="I128" s="145">
        <f>SUM(I119,I121,I126)</f>
        <v>0</v>
      </c>
      <c r="J128" s="145">
        <f>SUM(J119,J121,J126)</f>
        <v>50</v>
      </c>
      <c r="K128" s="146">
        <f>SUM(K119,K121,K126)</f>
        <v>1550</v>
      </c>
      <c r="L128" s="23"/>
      <c r="M128" s="144">
        <f>SUM(M119,M121,M126)</f>
        <v>148</v>
      </c>
      <c r="N128" s="145">
        <f>SUM(N119,N121,N126)</f>
        <v>313.2</v>
      </c>
      <c r="O128" s="145">
        <f>SUM(O119,O121,O126)</f>
        <v>251</v>
      </c>
      <c r="P128" s="145">
        <f>SUM(P119,P121,P126)</f>
        <v>323.04000000000002</v>
      </c>
      <c r="Q128" s="146">
        <f>SUM(Q119,Q121,Q126)</f>
        <v>256.5</v>
      </c>
      <c r="R128" s="23"/>
    </row>
    <row r="129" spans="3:18">
      <c r="C129" s="17"/>
      <c r="G129" s="89"/>
      <c r="H129" s="23"/>
      <c r="I129" s="23"/>
      <c r="J129" s="23"/>
      <c r="K129" s="90"/>
      <c r="L129" s="23"/>
      <c r="M129" s="89"/>
      <c r="N129" s="23"/>
      <c r="O129" s="23"/>
      <c r="P129" s="23"/>
      <c r="Q129" s="90"/>
      <c r="R129" s="23"/>
    </row>
    <row r="130" spans="3:18">
      <c r="C130" s="147" t="s">
        <v>89</v>
      </c>
      <c r="D130" s="52"/>
      <c r="E130" s="52"/>
      <c r="F130" s="52"/>
      <c r="G130" s="148"/>
      <c r="H130" s="149"/>
      <c r="I130" s="149"/>
      <c r="J130" s="149"/>
      <c r="K130" s="150"/>
      <c r="L130" s="23"/>
      <c r="M130" s="148"/>
      <c r="N130" s="149"/>
      <c r="O130" s="149"/>
      <c r="P130" s="149"/>
      <c r="Q130" s="150"/>
      <c r="R130" s="23"/>
    </row>
    <row r="131" spans="3:18">
      <c r="C131" s="151"/>
      <c r="D131" s="67"/>
      <c r="E131" s="67"/>
      <c r="F131" s="67"/>
      <c r="G131" s="89"/>
      <c r="H131" s="23"/>
      <c r="I131" s="23"/>
      <c r="J131" s="23"/>
      <c r="K131" s="90"/>
      <c r="L131" s="23"/>
      <c r="M131" s="89"/>
      <c r="N131" s="23"/>
      <c r="O131" s="23"/>
      <c r="P131" s="23"/>
      <c r="Q131" s="90"/>
      <c r="R131" s="23"/>
    </row>
    <row r="132" spans="3:18">
      <c r="C132" s="151" t="s">
        <v>24</v>
      </c>
      <c r="D132" s="67"/>
      <c r="E132" s="67"/>
      <c r="F132" s="67"/>
      <c r="G132" s="94">
        <v>2108</v>
      </c>
      <c r="H132" s="78">
        <v>3177</v>
      </c>
      <c r="I132" s="78">
        <f>H132</f>
        <v>3177</v>
      </c>
      <c r="J132" s="78">
        <v>2512</v>
      </c>
      <c r="K132" s="95">
        <v>2325</v>
      </c>
      <c r="L132" s="78"/>
      <c r="M132" s="94">
        <v>2101</v>
      </c>
      <c r="N132" s="78">
        <v>2736</v>
      </c>
      <c r="O132" s="78">
        <f>N132</f>
        <v>2736</v>
      </c>
      <c r="P132" s="78">
        <v>2458</v>
      </c>
      <c r="Q132" s="95">
        <v>2261</v>
      </c>
      <c r="R132" s="23"/>
    </row>
    <row r="133" spans="3:18">
      <c r="C133" s="152" t="s">
        <v>90</v>
      </c>
      <c r="D133" s="153"/>
      <c r="E133" s="153"/>
      <c r="F133" s="153"/>
      <c r="G133" s="94">
        <v>188.84698900999999</v>
      </c>
      <c r="H133" s="78">
        <v>181</v>
      </c>
      <c r="I133" s="78">
        <v>117.2</v>
      </c>
      <c r="J133" s="78">
        <v>90.1</v>
      </c>
      <c r="K133" s="95"/>
      <c r="L133" s="78"/>
      <c r="M133" s="94">
        <v>66.400000000000006</v>
      </c>
      <c r="N133" s="78">
        <v>105.7</v>
      </c>
      <c r="O133" s="78">
        <v>93.4</v>
      </c>
      <c r="P133" s="78">
        <v>86.9</v>
      </c>
      <c r="Q133" s="95"/>
      <c r="R133" s="23"/>
    </row>
    <row r="134" spans="3:18">
      <c r="C134" s="152" t="s">
        <v>91</v>
      </c>
      <c r="D134" s="153"/>
      <c r="E134" s="153"/>
      <c r="F134" s="153"/>
      <c r="G134" s="94" t="s">
        <v>92</v>
      </c>
      <c r="H134" s="78">
        <v>80</v>
      </c>
      <c r="I134" s="78">
        <f>H134</f>
        <v>80</v>
      </c>
      <c r="J134" s="78">
        <v>0</v>
      </c>
      <c r="K134" s="95"/>
      <c r="L134" s="78"/>
      <c r="M134" s="94" t="s">
        <v>92</v>
      </c>
      <c r="N134" s="78">
        <v>80</v>
      </c>
      <c r="O134" s="78">
        <f>N134</f>
        <v>80</v>
      </c>
      <c r="P134" s="78">
        <v>0</v>
      </c>
      <c r="Q134" s="95"/>
      <c r="R134" s="23"/>
    </row>
    <row r="135" spans="3:18">
      <c r="C135" s="152" t="s">
        <v>93</v>
      </c>
      <c r="D135" s="153"/>
      <c r="E135" s="153"/>
      <c r="F135" s="153"/>
      <c r="G135" s="94" t="s">
        <v>92</v>
      </c>
      <c r="H135" s="78">
        <v>32</v>
      </c>
      <c r="I135" s="154">
        <f t="shared" ref="I135:I139" si="18">H135</f>
        <v>32</v>
      </c>
      <c r="J135" s="78">
        <v>0</v>
      </c>
      <c r="K135" s="95"/>
      <c r="L135" s="78"/>
      <c r="M135" s="94" t="s">
        <v>92</v>
      </c>
      <c r="N135" s="78">
        <v>20</v>
      </c>
      <c r="O135" s="154">
        <f t="shared" ref="O135:O139" si="19">N135</f>
        <v>20</v>
      </c>
      <c r="P135" s="78">
        <v>0</v>
      </c>
      <c r="Q135" s="95"/>
      <c r="R135" s="23"/>
    </row>
    <row r="136" spans="3:18">
      <c r="C136" s="152" t="s">
        <v>94</v>
      </c>
      <c r="D136" s="153"/>
      <c r="E136" s="153"/>
      <c r="F136" s="153"/>
      <c r="G136" s="94" t="s">
        <v>92</v>
      </c>
      <c r="H136" s="78">
        <v>200</v>
      </c>
      <c r="I136" s="154">
        <f t="shared" si="18"/>
        <v>200</v>
      </c>
      <c r="J136" s="78">
        <v>104.6</v>
      </c>
      <c r="K136" s="95"/>
      <c r="L136" s="78"/>
      <c r="M136" s="94" t="s">
        <v>92</v>
      </c>
      <c r="N136" s="78">
        <v>25</v>
      </c>
      <c r="O136" s="154">
        <f t="shared" si="19"/>
        <v>25</v>
      </c>
      <c r="P136" s="78">
        <v>61.6</v>
      </c>
      <c r="Q136" s="95"/>
      <c r="R136" s="23"/>
    </row>
    <row r="137" spans="3:18">
      <c r="C137" s="152" t="s">
        <v>95</v>
      </c>
      <c r="D137" s="153"/>
      <c r="E137" s="153"/>
      <c r="F137" s="153"/>
      <c r="G137" s="94" t="s">
        <v>92</v>
      </c>
      <c r="H137" s="78">
        <v>110</v>
      </c>
      <c r="I137" s="154">
        <v>110</v>
      </c>
      <c r="J137" s="78">
        <v>30</v>
      </c>
      <c r="K137" s="96">
        <v>50</v>
      </c>
      <c r="L137" s="78"/>
      <c r="M137" s="94" t="s">
        <v>92</v>
      </c>
      <c r="N137" s="78">
        <v>45</v>
      </c>
      <c r="O137" s="154">
        <v>45</v>
      </c>
      <c r="P137" s="78">
        <v>30</v>
      </c>
      <c r="Q137" s="96">
        <v>40</v>
      </c>
      <c r="R137" s="23"/>
    </row>
    <row r="138" spans="3:18">
      <c r="C138" s="152" t="s">
        <v>96</v>
      </c>
      <c r="D138" s="153"/>
      <c r="E138" s="153"/>
      <c r="F138" s="153"/>
      <c r="G138" s="94" t="s">
        <v>92</v>
      </c>
      <c r="H138" s="78">
        <v>100</v>
      </c>
      <c r="I138" s="154">
        <f t="shared" si="18"/>
        <v>100</v>
      </c>
      <c r="J138" s="78">
        <v>0</v>
      </c>
      <c r="K138" s="95"/>
      <c r="L138" s="78"/>
      <c r="M138" s="94" t="s">
        <v>92</v>
      </c>
      <c r="N138" s="78">
        <v>65</v>
      </c>
      <c r="O138" s="154">
        <f t="shared" si="19"/>
        <v>65</v>
      </c>
      <c r="P138" s="78">
        <v>0</v>
      </c>
      <c r="Q138" s="95"/>
      <c r="R138" s="23"/>
    </row>
    <row r="139" spans="3:18">
      <c r="C139" s="152" t="s">
        <v>97</v>
      </c>
      <c r="D139" s="153"/>
      <c r="E139" s="153"/>
      <c r="F139" s="153"/>
      <c r="G139" s="94" t="s">
        <v>92</v>
      </c>
      <c r="H139" s="78">
        <v>0</v>
      </c>
      <c r="I139" s="154">
        <f t="shared" si="18"/>
        <v>0</v>
      </c>
      <c r="J139" s="78">
        <v>10</v>
      </c>
      <c r="K139" s="95"/>
      <c r="L139" s="78"/>
      <c r="M139" s="94" t="s">
        <v>92</v>
      </c>
      <c r="N139" s="78">
        <v>0</v>
      </c>
      <c r="O139" s="154">
        <f t="shared" si="19"/>
        <v>0</v>
      </c>
      <c r="P139" s="78">
        <v>10</v>
      </c>
      <c r="Q139" s="95"/>
      <c r="R139" s="23"/>
    </row>
    <row r="140" spans="3:18">
      <c r="C140" s="152"/>
      <c r="D140" s="153"/>
      <c r="E140" s="153"/>
      <c r="F140" s="153"/>
      <c r="G140" s="94"/>
      <c r="H140" s="78"/>
      <c r="I140" s="154"/>
      <c r="J140" s="78"/>
      <c r="K140" s="95"/>
      <c r="L140" s="78"/>
      <c r="M140" s="94"/>
      <c r="N140" s="78"/>
      <c r="O140" s="154"/>
      <c r="P140" s="78"/>
      <c r="Q140" s="95"/>
      <c r="R140" s="23"/>
    </row>
    <row r="141" spans="3:18">
      <c r="C141" s="155" t="s">
        <v>98</v>
      </c>
      <c r="D141" s="156"/>
      <c r="E141" s="156"/>
      <c r="F141" s="156"/>
      <c r="G141" s="157">
        <f>SUM(G134:G139)</f>
        <v>0</v>
      </c>
      <c r="H141" s="158">
        <f>SUM(H134:H139)</f>
        <v>522</v>
      </c>
      <c r="I141" s="158">
        <f>SUM(I134:I139)</f>
        <v>522</v>
      </c>
      <c r="J141" s="158">
        <f>SUM(J134:J139)</f>
        <v>144.6</v>
      </c>
      <c r="K141" s="159"/>
      <c r="L141" s="78"/>
      <c r="M141" s="157">
        <f>SUM(M134:M139)</f>
        <v>0</v>
      </c>
      <c r="N141" s="158">
        <f>SUM(N134:N139)</f>
        <v>235</v>
      </c>
      <c r="O141" s="158">
        <f>SUM(O134:O139)</f>
        <v>235</v>
      </c>
      <c r="P141" s="158">
        <f>SUM(P134:P139)</f>
        <v>101.6</v>
      </c>
      <c r="Q141" s="159"/>
      <c r="R141" s="23"/>
    </row>
    <row r="142" spans="3:18">
      <c r="C142" s="151"/>
      <c r="D142" s="67"/>
      <c r="E142" s="67"/>
      <c r="F142" s="67"/>
      <c r="G142" s="89"/>
      <c r="H142" s="23"/>
      <c r="I142" s="23"/>
      <c r="J142" s="160"/>
      <c r="K142" s="161"/>
      <c r="L142" s="23"/>
      <c r="M142" s="89"/>
      <c r="N142" s="23"/>
      <c r="O142" s="23"/>
      <c r="P142" s="162"/>
      <c r="Q142" s="161"/>
      <c r="R142" s="23"/>
    </row>
    <row r="143" spans="3:18">
      <c r="C143" s="163" t="s">
        <v>99</v>
      </c>
      <c r="D143" s="164"/>
      <c r="E143" s="164"/>
      <c r="F143" s="164"/>
      <c r="G143" s="165"/>
      <c r="H143" s="166"/>
      <c r="I143" s="166"/>
      <c r="J143" s="166"/>
      <c r="K143" s="167"/>
      <c r="L143" s="23"/>
      <c r="M143" s="165"/>
      <c r="N143" s="166"/>
      <c r="O143" s="166"/>
      <c r="P143" s="166"/>
      <c r="Q143" s="167"/>
      <c r="R143" s="23"/>
    </row>
    <row r="144" spans="3:18">
      <c r="C144" s="17"/>
      <c r="G144" s="168"/>
      <c r="H144" s="169"/>
      <c r="I144" s="169"/>
      <c r="J144" s="169"/>
      <c r="K144" s="170"/>
      <c r="L144" s="23"/>
      <c r="M144" s="168"/>
      <c r="N144" s="169"/>
      <c r="O144" s="169"/>
      <c r="P144" s="169"/>
      <c r="Q144" s="170"/>
      <c r="R144" s="23"/>
    </row>
    <row r="145" spans="3:18">
      <c r="C145" s="151" t="s">
        <v>24</v>
      </c>
      <c r="G145" s="94">
        <f>G132</f>
        <v>2108</v>
      </c>
      <c r="H145" s="78">
        <f>H132</f>
        <v>3177</v>
      </c>
      <c r="I145" s="78">
        <f>I132</f>
        <v>3177</v>
      </c>
      <c r="J145" s="78">
        <f>J132</f>
        <v>2512</v>
      </c>
      <c r="K145" s="95">
        <f>K132</f>
        <v>2325</v>
      </c>
      <c r="L145" s="78"/>
      <c r="M145" s="94">
        <f>M132</f>
        <v>2101</v>
      </c>
      <c r="N145" s="78">
        <f>N132</f>
        <v>2736</v>
      </c>
      <c r="O145" s="78">
        <f>O132</f>
        <v>2736</v>
      </c>
      <c r="P145" s="78">
        <f>P132</f>
        <v>2458</v>
      </c>
      <c r="Q145" s="95">
        <f>Q132</f>
        <v>2261</v>
      </c>
      <c r="R145" s="23"/>
    </row>
    <row r="146" spans="3:18">
      <c r="C146" s="152" t="s">
        <v>100</v>
      </c>
      <c r="D146" s="99"/>
      <c r="E146" s="99"/>
      <c r="F146" s="99"/>
      <c r="G146" s="94" t="s">
        <v>92</v>
      </c>
      <c r="H146" s="78">
        <v>250</v>
      </c>
      <c r="I146" s="78">
        <f t="shared" ref="I146:I150" si="20">H146</f>
        <v>250</v>
      </c>
      <c r="J146" s="78">
        <v>228</v>
      </c>
      <c r="K146" s="95">
        <v>250</v>
      </c>
      <c r="L146" s="78"/>
      <c r="M146" s="94" t="s">
        <v>92</v>
      </c>
      <c r="N146" s="78">
        <v>100</v>
      </c>
      <c r="O146" s="78">
        <f t="shared" ref="O146:O150" si="21">N146</f>
        <v>100</v>
      </c>
      <c r="P146" s="78">
        <v>195</v>
      </c>
      <c r="Q146" s="95">
        <v>217</v>
      </c>
      <c r="R146" s="23"/>
    </row>
    <row r="147" spans="3:18">
      <c r="C147" s="152" t="s">
        <v>101</v>
      </c>
      <c r="D147" s="99"/>
      <c r="E147" s="99"/>
      <c r="F147" s="99"/>
      <c r="G147" s="94" t="s">
        <v>92</v>
      </c>
      <c r="H147" s="78">
        <v>200</v>
      </c>
      <c r="I147" s="78">
        <f t="shared" si="20"/>
        <v>200</v>
      </c>
      <c r="J147" s="78">
        <v>0</v>
      </c>
      <c r="K147" s="95" t="s">
        <v>26</v>
      </c>
      <c r="L147" s="78"/>
      <c r="M147" s="94" t="s">
        <v>92</v>
      </c>
      <c r="N147" s="78">
        <v>200</v>
      </c>
      <c r="O147" s="78">
        <f t="shared" si="21"/>
        <v>200</v>
      </c>
      <c r="P147" s="78">
        <v>0</v>
      </c>
      <c r="Q147" s="95" t="s">
        <v>26</v>
      </c>
      <c r="R147" s="23"/>
    </row>
    <row r="148" spans="3:18">
      <c r="C148" s="152" t="s">
        <v>102</v>
      </c>
      <c r="D148" s="99"/>
      <c r="E148" s="99"/>
      <c r="F148" s="99"/>
      <c r="G148" s="94" t="s">
        <v>92</v>
      </c>
      <c r="H148" s="78">
        <v>34</v>
      </c>
      <c r="I148" s="78">
        <f t="shared" si="20"/>
        <v>34</v>
      </c>
      <c r="J148" s="78">
        <v>0</v>
      </c>
      <c r="K148" s="95" t="s">
        <v>26</v>
      </c>
      <c r="L148" s="78"/>
      <c r="M148" s="94" t="s">
        <v>92</v>
      </c>
      <c r="N148" s="78">
        <v>34</v>
      </c>
      <c r="O148" s="78">
        <f t="shared" si="21"/>
        <v>34</v>
      </c>
      <c r="P148" s="78">
        <v>0</v>
      </c>
      <c r="Q148" s="95" t="s">
        <v>26</v>
      </c>
      <c r="R148" s="23"/>
    </row>
    <row r="149" spans="3:18">
      <c r="C149" s="152" t="s">
        <v>103</v>
      </c>
      <c r="D149" s="99"/>
      <c r="E149" s="99"/>
      <c r="F149" s="99"/>
      <c r="G149" s="94" t="s">
        <v>92</v>
      </c>
      <c r="H149" s="78">
        <v>10</v>
      </c>
      <c r="I149" s="78">
        <f t="shared" si="20"/>
        <v>10</v>
      </c>
      <c r="J149" s="78">
        <v>0</v>
      </c>
      <c r="K149" s="95">
        <v>10</v>
      </c>
      <c r="L149" s="78"/>
      <c r="M149" s="94" t="s">
        <v>92</v>
      </c>
      <c r="N149" s="78">
        <v>10</v>
      </c>
      <c r="O149" s="78">
        <f t="shared" si="21"/>
        <v>10</v>
      </c>
      <c r="P149" s="78">
        <v>0</v>
      </c>
      <c r="Q149" s="95">
        <v>10</v>
      </c>
      <c r="R149" s="23"/>
    </row>
    <row r="150" spans="3:18">
      <c r="C150" s="152" t="s">
        <v>104</v>
      </c>
      <c r="D150" s="99"/>
      <c r="E150" s="99"/>
      <c r="F150" s="99"/>
      <c r="G150" s="94" t="s">
        <v>92</v>
      </c>
      <c r="H150" s="78">
        <v>15</v>
      </c>
      <c r="I150" s="78">
        <f t="shared" si="20"/>
        <v>15</v>
      </c>
      <c r="J150" s="78">
        <v>0</v>
      </c>
      <c r="K150" s="95" t="s">
        <v>26</v>
      </c>
      <c r="L150" s="78"/>
      <c r="M150" s="94" t="s">
        <v>92</v>
      </c>
      <c r="N150" s="78">
        <v>15</v>
      </c>
      <c r="O150" s="78">
        <f t="shared" si="21"/>
        <v>15</v>
      </c>
      <c r="P150" s="78">
        <v>0</v>
      </c>
      <c r="Q150" s="95" t="s">
        <v>26</v>
      </c>
      <c r="R150" s="23"/>
    </row>
    <row r="151" spans="3:18">
      <c r="C151" s="152"/>
      <c r="D151" s="99"/>
      <c r="E151" s="99"/>
      <c r="F151" s="99"/>
      <c r="G151" s="94"/>
      <c r="H151" s="78"/>
      <c r="I151" s="78"/>
      <c r="J151" s="78"/>
      <c r="K151" s="95"/>
      <c r="L151" s="78"/>
      <c r="M151" s="94"/>
      <c r="N151" s="78"/>
      <c r="O151" s="78"/>
      <c r="P151" s="78"/>
      <c r="Q151" s="95"/>
      <c r="R151" s="23"/>
    </row>
    <row r="152" spans="3:18">
      <c r="C152" s="171" t="s">
        <v>105</v>
      </c>
      <c r="D152" s="172"/>
      <c r="E152" s="172"/>
      <c r="F152" s="172"/>
      <c r="G152" s="173">
        <f>SUM(G146:G150)</f>
        <v>0</v>
      </c>
      <c r="H152" s="174">
        <f>SUM(H146:H150)</f>
        <v>509</v>
      </c>
      <c r="I152" s="174">
        <f>SUM(I146:I150)</f>
        <v>509</v>
      </c>
      <c r="J152" s="174">
        <f>SUM(J146:J150)</f>
        <v>228</v>
      </c>
      <c r="K152" s="175">
        <f>SUM(K146:K150)</f>
        <v>260</v>
      </c>
      <c r="L152" s="78"/>
      <c r="M152" s="173">
        <f>SUM(M146:M150)</f>
        <v>0</v>
      </c>
      <c r="N152" s="174">
        <f>SUM(N146:N150)</f>
        <v>359</v>
      </c>
      <c r="O152" s="174">
        <f>SUM(O146:O150)</f>
        <v>359</v>
      </c>
      <c r="P152" s="174">
        <f>SUM(P146:P150)</f>
        <v>195</v>
      </c>
      <c r="Q152" s="175">
        <f>SUM(Q146:Q150)</f>
        <v>227</v>
      </c>
      <c r="R152" s="23"/>
    </row>
    <row r="153" spans="3:18">
      <c r="C153" s="171" t="s">
        <v>106</v>
      </c>
      <c r="D153" s="172"/>
      <c r="E153" s="172"/>
      <c r="F153" s="172"/>
      <c r="G153" s="173"/>
      <c r="H153" s="174">
        <f>H152+H141</f>
        <v>1031</v>
      </c>
      <c r="I153" s="174">
        <f>I152+I141</f>
        <v>1031</v>
      </c>
      <c r="J153" s="174">
        <f>J141+J152</f>
        <v>372.6</v>
      </c>
      <c r="K153" s="175"/>
      <c r="L153" s="78"/>
      <c r="M153" s="173">
        <f t="shared" ref="M153:O153" si="22">M141+M152</f>
        <v>0</v>
      </c>
      <c r="N153" s="174">
        <f t="shared" si="22"/>
        <v>594</v>
      </c>
      <c r="O153" s="174">
        <f t="shared" si="22"/>
        <v>594</v>
      </c>
      <c r="P153" s="174">
        <f>(P152-O152)/O152</f>
        <v>-0.45682451253481893</v>
      </c>
      <c r="Q153" s="175"/>
      <c r="R153" s="23"/>
    </row>
    <row r="154" spans="3:18">
      <c r="C154" s="151"/>
      <c r="D154" s="67"/>
      <c r="E154" s="67"/>
      <c r="F154" s="67"/>
      <c r="G154" s="168"/>
      <c r="H154" s="91"/>
      <c r="I154" s="91"/>
      <c r="J154" s="91"/>
      <c r="K154" s="170"/>
      <c r="L154" s="23"/>
      <c r="M154" s="168"/>
      <c r="N154" s="169"/>
      <c r="O154" s="169"/>
      <c r="P154" s="162"/>
      <c r="Q154" s="170"/>
      <c r="R154" s="23"/>
    </row>
    <row r="155" spans="3:18">
      <c r="C155" s="176" t="s">
        <v>107</v>
      </c>
      <c r="D155" s="60"/>
      <c r="E155" s="60"/>
      <c r="F155" s="60"/>
      <c r="G155" s="177"/>
      <c r="H155" s="178"/>
      <c r="I155" s="178"/>
      <c r="J155" s="178"/>
      <c r="K155" s="179"/>
      <c r="L155" s="23"/>
      <c r="M155" s="180"/>
      <c r="N155" s="181"/>
      <c r="O155" s="181"/>
      <c r="P155" s="181"/>
      <c r="Q155" s="182"/>
      <c r="R155" s="23"/>
    </row>
    <row r="156" spans="3:18">
      <c r="C156" s="183"/>
      <c r="D156" s="184"/>
      <c r="E156" s="184"/>
      <c r="F156" s="184"/>
      <c r="G156" s="185"/>
      <c r="H156" s="186"/>
      <c r="I156" s="186"/>
      <c r="J156" s="186"/>
      <c r="K156" s="187"/>
      <c r="L156" s="78"/>
      <c r="M156" s="188"/>
      <c r="N156" s="189"/>
      <c r="O156" s="189"/>
      <c r="P156" s="189"/>
      <c r="Q156" s="190"/>
      <c r="R156" s="23"/>
    </row>
    <row r="157" spans="3:18">
      <c r="C157" s="19" t="s">
        <v>108</v>
      </c>
      <c r="D157" s="6"/>
      <c r="E157" s="6"/>
      <c r="F157" s="6"/>
      <c r="G157" s="94"/>
      <c r="H157" s="78"/>
      <c r="I157" s="78"/>
      <c r="J157" s="78"/>
      <c r="K157" s="95"/>
      <c r="L157" s="78"/>
      <c r="M157" s="94"/>
      <c r="N157" s="110"/>
      <c r="O157" s="110"/>
      <c r="P157" s="110"/>
      <c r="Q157" s="191"/>
      <c r="R157" s="23"/>
    </row>
    <row r="158" spans="3:18">
      <c r="C158" s="92" t="s">
        <v>109</v>
      </c>
      <c r="D158" s="93"/>
      <c r="E158" s="93"/>
      <c r="F158" s="93"/>
      <c r="G158" s="94">
        <v>213.08180200000001</v>
      </c>
      <c r="H158" s="78">
        <v>205</v>
      </c>
      <c r="I158" s="109">
        <f t="shared" ref="I158" si="23">H158</f>
        <v>205</v>
      </c>
      <c r="J158" s="78">
        <v>225</v>
      </c>
      <c r="K158" s="95" t="s">
        <v>26</v>
      </c>
      <c r="L158" s="78"/>
      <c r="M158" s="94">
        <v>199.82930300000001</v>
      </c>
      <c r="N158" s="192">
        <v>200</v>
      </c>
      <c r="O158" s="109">
        <f t="shared" ref="O158" si="24">N158</f>
        <v>200</v>
      </c>
      <c r="P158" s="110">
        <v>220</v>
      </c>
      <c r="Q158" s="95" t="s">
        <v>26</v>
      </c>
      <c r="R158" s="23"/>
    </row>
    <row r="159" spans="3:18">
      <c r="C159" s="193"/>
      <c r="D159" s="194"/>
      <c r="E159" s="194"/>
      <c r="F159" s="194"/>
      <c r="G159" s="75"/>
      <c r="H159" s="76"/>
      <c r="I159" s="76"/>
      <c r="J159" s="76"/>
      <c r="K159" s="77"/>
      <c r="L159" s="78"/>
      <c r="M159" s="75"/>
      <c r="N159" s="78"/>
      <c r="O159" s="78"/>
      <c r="P159" s="78"/>
      <c r="Q159" s="95"/>
      <c r="R159" s="23"/>
    </row>
    <row r="160" spans="3:18">
      <c r="C160" s="195" t="s">
        <v>30</v>
      </c>
      <c r="D160" s="69"/>
      <c r="E160" s="69"/>
      <c r="F160" s="69"/>
      <c r="G160" s="196"/>
      <c r="H160" s="197"/>
      <c r="I160" s="197"/>
      <c r="J160" s="197"/>
      <c r="K160" s="198"/>
      <c r="L160" s="78"/>
      <c r="M160" s="196"/>
      <c r="N160" s="197"/>
      <c r="O160" s="197"/>
      <c r="P160" s="197"/>
      <c r="Q160" s="198"/>
      <c r="R160" s="23"/>
    </row>
    <row r="161" spans="3:18">
      <c r="C161" s="17"/>
      <c r="G161" s="94"/>
      <c r="H161" s="78"/>
      <c r="I161" s="78"/>
      <c r="J161" s="78"/>
      <c r="K161" s="95"/>
      <c r="L161" s="78"/>
      <c r="M161" s="94"/>
      <c r="N161" s="78"/>
      <c r="O161" s="78"/>
      <c r="P161" s="78"/>
      <c r="Q161" s="95"/>
      <c r="R161" s="23"/>
    </row>
    <row r="162" spans="3:18">
      <c r="C162" s="17" t="s">
        <v>110</v>
      </c>
      <c r="G162" s="94"/>
      <c r="H162" s="78"/>
      <c r="I162" s="78"/>
      <c r="J162" s="78"/>
      <c r="K162" s="95"/>
      <c r="L162" s="78"/>
      <c r="M162" s="94"/>
      <c r="N162" s="78"/>
      <c r="O162" s="78"/>
      <c r="P162" s="78"/>
      <c r="Q162" s="95"/>
      <c r="R162" s="23"/>
    </row>
    <row r="163" spans="3:18">
      <c r="C163" s="98" t="s">
        <v>31</v>
      </c>
      <c r="D163" s="99"/>
      <c r="E163" s="99"/>
      <c r="F163" s="99"/>
      <c r="G163" s="94">
        <v>1999.433123</v>
      </c>
      <c r="H163" s="78">
        <v>2499</v>
      </c>
      <c r="I163" s="78">
        <f>H163-500</f>
        <v>1999</v>
      </c>
      <c r="J163" s="78">
        <v>1000</v>
      </c>
      <c r="K163" s="95">
        <f>1150</f>
        <v>1150</v>
      </c>
      <c r="L163" s="78"/>
      <c r="M163" s="94">
        <v>301.66957200000002</v>
      </c>
      <c r="N163" s="78">
        <v>1124</v>
      </c>
      <c r="O163" s="78">
        <f>N163-430</f>
        <v>694</v>
      </c>
      <c r="P163" s="78">
        <f>1142.916832</f>
        <v>1142.9168320000001</v>
      </c>
      <c r="Q163" s="95">
        <f>1124</f>
        <v>1124</v>
      </c>
      <c r="R163" s="23"/>
    </row>
    <row r="164" spans="3:18">
      <c r="C164" s="80" t="s">
        <v>111</v>
      </c>
      <c r="D164" s="80"/>
      <c r="E164" s="80"/>
      <c r="F164" s="80"/>
      <c r="G164" s="80"/>
      <c r="H164" s="80"/>
      <c r="I164" s="80"/>
      <c r="J164" s="80"/>
      <c r="K164" s="80"/>
      <c r="L164" s="80"/>
      <c r="M164" s="80"/>
      <c r="N164" s="80"/>
      <c r="O164" s="80"/>
      <c r="P164" s="223"/>
      <c r="Q164" s="80"/>
    </row>
    <row r="165" spans="3:18">
      <c r="P165" s="23"/>
    </row>
    <row r="166" spans="3:18" ht="21">
      <c r="C166" s="1" t="s">
        <v>112</v>
      </c>
      <c r="D166" s="7"/>
      <c r="E166" s="7"/>
      <c r="F166" s="7"/>
      <c r="P166" s="23"/>
    </row>
    <row r="167" spans="3:18" ht="18.75">
      <c r="C167" s="7"/>
      <c r="D167" s="7"/>
      <c r="E167" s="7"/>
      <c r="F167" s="7"/>
      <c r="O167" s="23"/>
      <c r="P167" s="23"/>
    </row>
    <row r="168" spans="3:18" ht="18.75">
      <c r="C168" s="7" t="s">
        <v>35</v>
      </c>
      <c r="D168" s="199"/>
      <c r="E168" s="199"/>
      <c r="F168" s="199"/>
      <c r="O168" s="23"/>
      <c r="P168" s="23"/>
    </row>
    <row r="169" spans="3:18">
      <c r="P169" s="23"/>
    </row>
    <row r="170" spans="3:18">
      <c r="C170" t="s">
        <v>113</v>
      </c>
      <c r="D170" t="s">
        <v>114</v>
      </c>
      <c r="P170" s="23"/>
    </row>
    <row r="171" spans="3:18">
      <c r="D171" s="138" t="s">
        <v>115</v>
      </c>
      <c r="P171" s="23"/>
    </row>
    <row r="172" spans="3:18">
      <c r="D172" s="138" t="s">
        <v>116</v>
      </c>
      <c r="P172" s="23"/>
    </row>
    <row r="173" spans="3:18">
      <c r="P173" s="23"/>
    </row>
    <row r="174" spans="3:18">
      <c r="C174" s="138" t="s">
        <v>117</v>
      </c>
      <c r="D174" t="s">
        <v>118</v>
      </c>
      <c r="P174" s="23"/>
    </row>
    <row r="175" spans="3:18">
      <c r="C175" s="138"/>
      <c r="D175" s="138" t="s">
        <v>119</v>
      </c>
      <c r="P175" s="23"/>
    </row>
    <row r="176" spans="3:18">
      <c r="D176" s="138" t="s">
        <v>120</v>
      </c>
      <c r="P176" s="23"/>
    </row>
    <row r="177" spans="2:16">
      <c r="B177" s="97" t="s">
        <v>121</v>
      </c>
      <c r="D177" s="138" t="s">
        <v>122</v>
      </c>
      <c r="P177" s="23"/>
    </row>
    <row r="178" spans="2:16">
      <c r="B178" s="97" t="s">
        <v>121</v>
      </c>
      <c r="D178" s="138" t="s">
        <v>123</v>
      </c>
      <c r="P178" s="23"/>
    </row>
    <row r="179" spans="2:16">
      <c r="D179" s="138" t="s">
        <v>124</v>
      </c>
      <c r="P179" s="23"/>
    </row>
    <row r="180" spans="2:16">
      <c r="D180" s="138" t="s">
        <v>125</v>
      </c>
      <c r="P180" s="23"/>
    </row>
    <row r="181" spans="2:16">
      <c r="D181" s="138"/>
      <c r="P181" s="23"/>
    </row>
    <row r="182" spans="2:16">
      <c r="D182" s="138" t="s">
        <v>126</v>
      </c>
      <c r="P182" s="23"/>
    </row>
    <row r="183" spans="2:16">
      <c r="D183" s="138" t="s">
        <v>127</v>
      </c>
      <c r="P183" s="23"/>
    </row>
    <row r="184" spans="2:16">
      <c r="P184" s="23"/>
    </row>
    <row r="185" spans="2:16" ht="18.75">
      <c r="C185" s="7" t="s">
        <v>128</v>
      </c>
      <c r="D185" s="199"/>
      <c r="E185" s="199"/>
      <c r="F185" s="199"/>
    </row>
    <row r="186" spans="2:16" ht="15.75">
      <c r="C186" s="199"/>
      <c r="D186" s="199"/>
      <c r="E186" s="199"/>
      <c r="F186" s="199"/>
    </row>
    <row r="187" spans="2:16">
      <c r="C187" s="200" t="s">
        <v>113</v>
      </c>
      <c r="D187" t="s">
        <v>129</v>
      </c>
      <c r="P187" s="23"/>
    </row>
    <row r="188" spans="2:16">
      <c r="D188" t="s">
        <v>130</v>
      </c>
      <c r="P188" s="23"/>
    </row>
    <row r="189" spans="2:16">
      <c r="P189" s="23"/>
    </row>
    <row r="190" spans="2:16">
      <c r="C190" s="81" t="s">
        <v>131</v>
      </c>
      <c r="D190" s="81"/>
      <c r="E190" s="81"/>
      <c r="F190" s="81"/>
    </row>
    <row r="191" spans="2:16">
      <c r="C191" s="201"/>
      <c r="D191" s="202"/>
      <c r="E191" s="202"/>
      <c r="F191" s="203"/>
      <c r="G191" s="204" t="s">
        <v>132</v>
      </c>
      <c r="H191" s="205" t="s">
        <v>133</v>
      </c>
    </row>
    <row r="192" spans="2:16">
      <c r="C192" s="206" t="s">
        <v>134</v>
      </c>
      <c r="D192" s="80"/>
      <c r="E192" s="80"/>
      <c r="F192" s="207"/>
      <c r="G192" s="208">
        <v>42.972566999999998</v>
      </c>
      <c r="H192" s="209">
        <f>G192</f>
        <v>42.972566999999998</v>
      </c>
    </row>
    <row r="193" spans="3:16">
      <c r="C193" s="17" t="s">
        <v>135</v>
      </c>
      <c r="F193" s="18"/>
      <c r="G193" s="210">
        <v>709.84338500000001</v>
      </c>
      <c r="H193" s="211">
        <v>515.867705</v>
      </c>
    </row>
    <row r="194" spans="3:16">
      <c r="C194" s="17" t="s">
        <v>136</v>
      </c>
      <c r="F194" s="18"/>
      <c r="G194" s="17"/>
      <c r="H194" s="18"/>
    </row>
    <row r="195" spans="3:16">
      <c r="C195" s="98" t="s">
        <v>43</v>
      </c>
      <c r="D195" s="99"/>
      <c r="E195" s="99"/>
      <c r="F195" s="212"/>
      <c r="G195" s="213">
        <f>$G$243/G$244*H60</f>
        <v>2.8269200342317835</v>
      </c>
      <c r="H195" s="214">
        <f>$H$192/H$193*N60</f>
        <v>1.7493320443465248</v>
      </c>
    </row>
    <row r="196" spans="3:16">
      <c r="C196" s="98" t="s">
        <v>44</v>
      </c>
      <c r="D196" s="99"/>
      <c r="E196" s="99"/>
      <c r="F196" s="212"/>
      <c r="G196" s="213">
        <f>$G$243/G$244*H61</f>
        <v>24.601152239056205</v>
      </c>
      <c r="H196" s="214">
        <f>$H$192/H$193*N61</f>
        <v>18.992747910047981</v>
      </c>
    </row>
    <row r="197" spans="3:16">
      <c r="C197" s="193" t="s">
        <v>45</v>
      </c>
      <c r="D197" s="194"/>
      <c r="E197" s="194"/>
      <c r="F197" s="215"/>
      <c r="G197" s="216">
        <f>$G$243/G$244*H62</f>
        <v>23.282827504158995</v>
      </c>
      <c r="H197" s="217">
        <f>$H$192/H$193*N62</f>
        <v>20.82538148031577</v>
      </c>
    </row>
    <row r="198" spans="3:16">
      <c r="C198" s="99"/>
      <c r="D198" s="99"/>
      <c r="E198" s="99"/>
      <c r="F198" s="99"/>
      <c r="G198" s="218"/>
      <c r="H198" s="218"/>
    </row>
    <row r="199" spans="3:16">
      <c r="C199" s="219" t="s">
        <v>117</v>
      </c>
      <c r="D199" t="s">
        <v>137</v>
      </c>
      <c r="P199" s="23"/>
    </row>
    <row r="200" spans="3:16">
      <c r="C200" s="219"/>
      <c r="D200" t="s">
        <v>130</v>
      </c>
      <c r="P200" s="23"/>
    </row>
    <row r="201" spans="3:16">
      <c r="P201" s="23"/>
    </row>
    <row r="202" spans="3:16">
      <c r="C202" s="81" t="s">
        <v>138</v>
      </c>
      <c r="D202" s="81"/>
      <c r="E202" s="81"/>
      <c r="F202" s="81"/>
    </row>
    <row r="203" spans="3:16">
      <c r="C203" s="201"/>
      <c r="D203" s="202"/>
      <c r="E203" s="202"/>
      <c r="F203" s="203"/>
      <c r="G203" s="204" t="s">
        <v>132</v>
      </c>
      <c r="H203" s="205" t="s">
        <v>133</v>
      </c>
    </row>
    <row r="204" spans="3:16">
      <c r="C204" s="206" t="s">
        <v>139</v>
      </c>
      <c r="F204" s="18"/>
      <c r="G204" s="210">
        <v>674.95662400000003</v>
      </c>
      <c r="H204" s="211">
        <v>360.30010499999997</v>
      </c>
    </row>
    <row r="205" spans="3:16">
      <c r="C205" s="17" t="s">
        <v>140</v>
      </c>
      <c r="F205" s="18"/>
      <c r="G205" s="210">
        <v>614.70654500000001</v>
      </c>
      <c r="H205" s="211">
        <v>300.050026</v>
      </c>
    </row>
    <row r="206" spans="3:16">
      <c r="C206" s="10" t="s">
        <v>141</v>
      </c>
      <c r="D206" s="11"/>
      <c r="E206" s="11"/>
      <c r="F206" s="79"/>
      <c r="G206" s="220">
        <f>G205/G204-1</f>
        <v>-8.9265112538550406E-2</v>
      </c>
      <c r="H206" s="221">
        <f>H205/H204-1</f>
        <v>-0.16722193017401421</v>
      </c>
    </row>
    <row r="208" spans="3:16" ht="15.75">
      <c r="C208" s="81" t="s">
        <v>142</v>
      </c>
      <c r="D208" s="199"/>
      <c r="E208" s="199"/>
      <c r="F208" s="199"/>
    </row>
    <row r="209" spans="3:8">
      <c r="C209" s="201"/>
      <c r="D209" s="202"/>
      <c r="E209" s="202"/>
      <c r="F209" s="203"/>
      <c r="G209" s="204" t="s">
        <v>132</v>
      </c>
      <c r="H209" s="205" t="s">
        <v>133</v>
      </c>
    </row>
    <row r="210" spans="3:8">
      <c r="C210" s="206" t="s">
        <v>139</v>
      </c>
      <c r="F210" s="18"/>
      <c r="G210" s="210">
        <v>340</v>
      </c>
      <c r="H210" s="211">
        <v>340</v>
      </c>
    </row>
    <row r="211" spans="3:8">
      <c r="C211" s="17" t="s">
        <v>140</v>
      </c>
      <c r="F211" s="18"/>
      <c r="G211" s="210">
        <v>299.7</v>
      </c>
      <c r="H211" s="211">
        <v>299.7</v>
      </c>
    </row>
    <row r="212" spans="3:8">
      <c r="C212" s="10" t="s">
        <v>141</v>
      </c>
      <c r="D212" s="11"/>
      <c r="E212" s="11"/>
      <c r="F212" s="79"/>
      <c r="G212" s="220">
        <f>G211/G210-1</f>
        <v>-0.11852941176470588</v>
      </c>
      <c r="H212" s="221">
        <f>H211/H210-1</f>
        <v>-0.11852941176470588</v>
      </c>
    </row>
    <row r="214" spans="3:8" ht="18.75">
      <c r="C214" s="7" t="s">
        <v>143</v>
      </c>
      <c r="D214" s="199"/>
      <c r="E214" s="199"/>
      <c r="F214" s="199"/>
    </row>
    <row r="216" spans="3:8">
      <c r="C216" t="s">
        <v>144</v>
      </c>
    </row>
    <row r="217" spans="3:8">
      <c r="C217" t="s">
        <v>145</v>
      </c>
    </row>
    <row r="219" spans="3:8">
      <c r="C219" t="s">
        <v>146</v>
      </c>
    </row>
    <row r="220" spans="3:8">
      <c r="C220" s="99" t="s">
        <v>8</v>
      </c>
      <c r="D220" t="s">
        <v>147</v>
      </c>
    </row>
    <row r="221" spans="3:8">
      <c r="C221" s="99" t="s">
        <v>7</v>
      </c>
      <c r="D221" t="s">
        <v>148</v>
      </c>
    </row>
    <row r="222" spans="3:8">
      <c r="C222" s="99" t="s">
        <v>149</v>
      </c>
      <c r="D222" t="s">
        <v>150</v>
      </c>
    </row>
    <row r="223" spans="3:8">
      <c r="C223" s="99" t="s">
        <v>151</v>
      </c>
      <c r="D223" t="s">
        <v>152</v>
      </c>
    </row>
    <row r="224" spans="3:8">
      <c r="C224" s="99" t="s">
        <v>4</v>
      </c>
      <c r="D224" t="s">
        <v>153</v>
      </c>
    </row>
    <row r="225" spans="3:4">
      <c r="C225" s="99"/>
    </row>
    <row r="226" spans="3:4">
      <c r="C226" t="s">
        <v>154</v>
      </c>
    </row>
    <row r="227" spans="3:4">
      <c r="C227" s="99" t="s">
        <v>8</v>
      </c>
      <c r="D227" t="s">
        <v>155</v>
      </c>
    </row>
    <row r="228" spans="3:4">
      <c r="C228" s="99" t="s">
        <v>7</v>
      </c>
      <c r="D228" t="s">
        <v>147</v>
      </c>
    </row>
    <row r="229" spans="3:4">
      <c r="C229" s="99" t="s">
        <v>149</v>
      </c>
      <c r="D229" t="s">
        <v>150</v>
      </c>
    </row>
    <row r="230" spans="3:4">
      <c r="C230" s="99" t="s">
        <v>151</v>
      </c>
      <c r="D230" t="s">
        <v>152</v>
      </c>
    </row>
    <row r="231" spans="3:4">
      <c r="C231" s="99" t="s">
        <v>4</v>
      </c>
      <c r="D231" t="s">
        <v>153</v>
      </c>
    </row>
    <row r="232" spans="3:4">
      <c r="C232" s="99"/>
    </row>
    <row r="233" spans="3:4">
      <c r="C233" s="222" t="s">
        <v>156</v>
      </c>
    </row>
    <row r="234" spans="3:4">
      <c r="C234" s="99" t="s">
        <v>157</v>
      </c>
    </row>
    <row r="235" spans="3:4">
      <c r="C235" s="99" t="s">
        <v>158</v>
      </c>
    </row>
    <row r="236" spans="3:4">
      <c r="C236" s="99" t="s">
        <v>159</v>
      </c>
    </row>
    <row r="237" spans="3:4">
      <c r="C237" s="99" t="s">
        <v>160</v>
      </c>
    </row>
    <row r="238" spans="3:4">
      <c r="C238" s="99"/>
    </row>
    <row r="239" spans="3:4">
      <c r="C239" t="s">
        <v>161</v>
      </c>
    </row>
    <row r="241" spans="3:8">
      <c r="C241" s="81" t="s">
        <v>162</v>
      </c>
      <c r="D241" s="81"/>
      <c r="E241" s="81"/>
      <c r="F241" s="81"/>
    </row>
    <row r="242" spans="3:8">
      <c r="C242" s="201"/>
      <c r="D242" s="202"/>
      <c r="E242" s="202"/>
      <c r="F242" s="203"/>
      <c r="G242" s="204" t="s">
        <v>132</v>
      </c>
      <c r="H242" s="205" t="s">
        <v>133</v>
      </c>
    </row>
    <row r="243" spans="3:8">
      <c r="C243" s="206" t="s">
        <v>134</v>
      </c>
      <c r="D243" s="80"/>
      <c r="E243" s="80"/>
      <c r="F243" s="207"/>
      <c r="G243" s="208">
        <v>341.12174199999998</v>
      </c>
      <c r="H243" s="209">
        <f>G243</f>
        <v>341.12174199999998</v>
      </c>
    </row>
    <row r="244" spans="3:8">
      <c r="C244" s="17" t="s">
        <v>135</v>
      </c>
      <c r="F244" s="18"/>
      <c r="G244" s="210">
        <f>4344.085635</f>
        <v>4344.0856350000004</v>
      </c>
      <c r="H244" s="211">
        <v>4475.2373690000004</v>
      </c>
    </row>
    <row r="245" spans="3:8">
      <c r="C245" s="17" t="s">
        <v>136</v>
      </c>
      <c r="F245" s="18"/>
      <c r="G245" s="17"/>
      <c r="H245" s="18"/>
    </row>
    <row r="246" spans="3:8">
      <c r="C246" s="98" t="s">
        <v>51</v>
      </c>
      <c r="D246" s="99"/>
      <c r="E246" s="99"/>
      <c r="F246" s="212"/>
      <c r="G246" s="213">
        <f>$G$243/G$244*H75</f>
        <v>232.84679450883641</v>
      </c>
      <c r="H246" s="214">
        <f>$H$243/H$244*N75</f>
        <v>226.11062201847935</v>
      </c>
    </row>
    <row r="247" spans="3:8">
      <c r="C247" s="98" t="s">
        <v>52</v>
      </c>
      <c r="D247" s="99"/>
      <c r="E247" s="99"/>
      <c r="F247" s="212"/>
      <c r="G247" s="213">
        <f>$G$243/G$244*H76</f>
        <v>20.037670854381581</v>
      </c>
      <c r="H247" s="214">
        <f>$H$243/H$244*N76</f>
        <v>19.450444957476666</v>
      </c>
    </row>
    <row r="248" spans="3:8">
      <c r="C248" s="193" t="s">
        <v>53</v>
      </c>
      <c r="D248" s="194"/>
      <c r="E248" s="194"/>
      <c r="F248" s="215"/>
      <c r="G248" s="216">
        <f>$G$243/G$244*H77</f>
        <v>26.396785538738804</v>
      </c>
      <c r="H248" s="217">
        <f>$H$243/H$244*N77</f>
        <v>27.896529706321836</v>
      </c>
    </row>
    <row r="251" spans="3:8">
      <c r="C251" s="81" t="s">
        <v>163</v>
      </c>
      <c r="D251" s="81"/>
      <c r="E251" s="81"/>
      <c r="F251" s="81"/>
    </row>
    <row r="252" spans="3:8">
      <c r="C252" s="201"/>
      <c r="D252" s="202"/>
      <c r="E252" s="202"/>
      <c r="F252" s="203"/>
      <c r="G252" s="204" t="s">
        <v>132</v>
      </c>
      <c r="H252" s="205" t="s">
        <v>133</v>
      </c>
    </row>
    <row r="253" spans="3:8">
      <c r="C253" s="206" t="s">
        <v>139</v>
      </c>
      <c r="F253" s="18"/>
      <c r="G253" s="210">
        <v>4980.7414440000002</v>
      </c>
      <c r="H253" s="211">
        <v>4475.2373690000004</v>
      </c>
    </row>
    <row r="254" spans="3:8">
      <c r="C254" s="17" t="s">
        <v>140</v>
      </c>
      <c r="F254" s="18"/>
      <c r="G254" s="210">
        <v>4806.7484770000001</v>
      </c>
      <c r="H254" s="211">
        <v>4426.2444020000003</v>
      </c>
    </row>
    <row r="255" spans="3:8">
      <c r="C255" s="10" t="s">
        <v>141</v>
      </c>
      <c r="D255" s="11"/>
      <c r="E255" s="11"/>
      <c r="F255" s="79"/>
      <c r="G255" s="220">
        <f>G254/G253-1</f>
        <v>-3.4933145788886288E-2</v>
      </c>
      <c r="H255" s="221">
        <f>H254/H253-1</f>
        <v>-1.0947568354558124E-2</v>
      </c>
    </row>
    <row r="257" spans="2:16" ht="18.75">
      <c r="C257" s="7" t="s">
        <v>164</v>
      </c>
      <c r="D257" s="199"/>
      <c r="E257" s="199"/>
      <c r="F257" s="199"/>
    </row>
    <row r="259" spans="2:16">
      <c r="C259" s="200" t="s">
        <v>113</v>
      </c>
      <c r="D259" t="s">
        <v>165</v>
      </c>
      <c r="P259" s="23"/>
    </row>
    <row r="260" spans="2:16">
      <c r="D260" t="s">
        <v>166</v>
      </c>
    </row>
    <row r="261" spans="2:16">
      <c r="D261" t="s">
        <v>167</v>
      </c>
    </row>
    <row r="263" spans="2:16">
      <c r="C263" s="200" t="s">
        <v>168</v>
      </c>
      <c r="D263" t="s">
        <v>169</v>
      </c>
      <c r="P263" s="23"/>
    </row>
    <row r="264" spans="2:16">
      <c r="D264" t="s">
        <v>170</v>
      </c>
    </row>
    <row r="265" spans="2:16">
      <c r="B265" s="97" t="s">
        <v>121</v>
      </c>
    </row>
    <row r="266" spans="2:16">
      <c r="B266" s="97"/>
      <c r="D266" t="s">
        <v>171</v>
      </c>
    </row>
    <row r="267" spans="2:16">
      <c r="B267" s="97"/>
      <c r="D267" t="s">
        <v>172</v>
      </c>
    </row>
    <row r="268" spans="2:16">
      <c r="B268" s="97" t="s">
        <v>121</v>
      </c>
      <c r="D268" t="s">
        <v>173</v>
      </c>
    </row>
    <row r="269" spans="2:16">
      <c r="B269" s="97"/>
      <c r="D269" t="s">
        <v>174</v>
      </c>
    </row>
    <row r="271" spans="2:16" ht="18.75">
      <c r="C271" s="7" t="s">
        <v>21</v>
      </c>
    </row>
    <row r="273" spans="3:16">
      <c r="C273" t="s">
        <v>175</v>
      </c>
    </row>
    <row r="274" spans="3:16">
      <c r="C274" t="s">
        <v>176</v>
      </c>
    </row>
    <row r="275" spans="3:16">
      <c r="C275" t="s">
        <v>177</v>
      </c>
    </row>
    <row r="277" spans="3:16" ht="18.75">
      <c r="C277" s="7" t="s">
        <v>178</v>
      </c>
    </row>
    <row r="278" spans="3:16" ht="18.75">
      <c r="C278" s="7"/>
    </row>
    <row r="279" spans="3:16">
      <c r="C279" s="200" t="s">
        <v>168</v>
      </c>
      <c r="D279" t="s">
        <v>179</v>
      </c>
      <c r="P279" s="23"/>
    </row>
    <row r="282" spans="3:16" ht="18.75">
      <c r="C282" s="7" t="s">
        <v>99</v>
      </c>
    </row>
    <row r="284" spans="3:16">
      <c r="C284" s="200" t="s">
        <v>168</v>
      </c>
      <c r="D284" t="s">
        <v>179</v>
      </c>
      <c r="P284" s="23"/>
    </row>
    <row r="286" spans="3:16" ht="18.75">
      <c r="C286" s="7" t="s">
        <v>28</v>
      </c>
      <c r="D286" s="199"/>
      <c r="E286" s="199"/>
      <c r="F286" s="199"/>
    </row>
    <row r="288" spans="3:16">
      <c r="C288" s="200" t="s">
        <v>113</v>
      </c>
      <c r="D288" t="s">
        <v>180</v>
      </c>
      <c r="P288" s="23"/>
    </row>
    <row r="289" spans="2:16">
      <c r="D289" s="138" t="s">
        <v>181</v>
      </c>
    </row>
    <row r="290" spans="2:16">
      <c r="D290" s="138" t="s">
        <v>182</v>
      </c>
    </row>
    <row r="292" spans="2:16">
      <c r="D292" t="s">
        <v>183</v>
      </c>
    </row>
    <row r="294" spans="2:16">
      <c r="C294" s="200" t="s">
        <v>168</v>
      </c>
      <c r="D294" t="s">
        <v>184</v>
      </c>
      <c r="P294" s="23"/>
    </row>
    <row r="295" spans="2:16">
      <c r="B295" s="97" t="s">
        <v>121</v>
      </c>
      <c r="D295" t="s">
        <v>185</v>
      </c>
    </row>
    <row r="297" spans="2:16" ht="18.75">
      <c r="C297" s="7" t="s">
        <v>30</v>
      </c>
    </row>
    <row r="298" spans="2:16" ht="18.75">
      <c r="C298" s="7"/>
    </row>
    <row r="299" spans="2:16">
      <c r="C299" t="s">
        <v>186</v>
      </c>
      <c r="D299" t="s">
        <v>187</v>
      </c>
    </row>
  </sheetData>
  <mergeCells count="6">
    <mergeCell ref="G42:K42"/>
    <mergeCell ref="M42:Q42"/>
    <mergeCell ref="G1:K1"/>
    <mergeCell ref="M1:Q1"/>
    <mergeCell ref="G4:K4"/>
    <mergeCell ref="M4:Q4"/>
  </mergeCells>
  <hyperlinks>
    <hyperlink ref="B177" r:id="rId1" xr:uid="{C0C2C630-0401-4B42-AD78-432CA381B71A}"/>
    <hyperlink ref="B178" r:id="rId2" xr:uid="{B71EF02C-C9BA-4F4D-A987-C4B4E56B25F1}"/>
    <hyperlink ref="B265" r:id="rId3" xr:uid="{E312F2D0-6EAA-46C6-81DA-1F1290C72A08}"/>
    <hyperlink ref="B295" r:id="rId4" xr:uid="{5D884113-54A7-43E5-8B3B-50C76C39E486}"/>
    <hyperlink ref="B268" r:id="rId5" xr:uid="{DC1F7BC9-66F5-421D-9813-8CC7FDAA5282}"/>
  </hyperlinks>
  <pageMargins left="0.25" right="0.25" top="0.75" bottom="0.75" header="0.3" footer="0.3"/>
  <pageSetup paperSize="8" scale="27"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20" ma:contentTypeDescription="Crée un document." ma:contentTypeScope="" ma:versionID="30fe95e58db8b7b2ca9ceb81231135c3">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110d45108f9c3a8d0b17f94a7edbf"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d25fa36-6e92-4a8c-bcd7-8d2e2e5dc1cc">
      <Terms xmlns="http://schemas.microsoft.com/office/infopath/2007/PartnerControls"/>
    </lcf76f155ced4ddcb4097134ff3c332f>
    <_ip_UnifiedCompliancePolicyProperties xmlns="http://schemas.microsoft.com/sharepoint/v3" xsi:nil="true"/>
    <TaxCatchAll xmlns="2a193445-8f29-4d28-b3a3-ce6182a987ad" xsi:nil="true"/>
  </documentManagement>
</p:properties>
</file>

<file path=customXml/itemProps1.xml><?xml version="1.0" encoding="utf-8"?>
<ds:datastoreItem xmlns:ds="http://schemas.openxmlformats.org/officeDocument/2006/customXml" ds:itemID="{46318C02-BCE5-4FF8-B3D5-4B234D72ABF6}"/>
</file>

<file path=customXml/itemProps2.xml><?xml version="1.0" encoding="utf-8"?>
<ds:datastoreItem xmlns:ds="http://schemas.openxmlformats.org/officeDocument/2006/customXml" ds:itemID="{EA90AB8F-FB51-4C1F-B55C-B8CC298BF288}"/>
</file>

<file path=customXml/itemProps3.xml><?xml version="1.0" encoding="utf-8"?>
<ds:datastoreItem xmlns:ds="http://schemas.openxmlformats.org/officeDocument/2006/customXml" ds:itemID="{26B0E7AC-54CA-4735-B07E-F0A13C133A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Hadrien HAINAUT</dc:creator>
  <cp:keywords/>
  <dc:description/>
  <cp:lastModifiedBy/>
  <cp:revision/>
  <dcterms:created xsi:type="dcterms:W3CDTF">2025-02-07T16:05:52Z</dcterms:created>
  <dcterms:modified xsi:type="dcterms:W3CDTF">2025-02-11T09:56:06Z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ies>
</file>